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15" activeTab="1"/>
  </bookViews>
  <sheets>
    <sheet name="дох" sheetId="1" r:id="rId1"/>
    <sheet name="расх" sheetId="2" r:id="rId2"/>
    <sheet name="ист" sheetId="3" r:id="rId3"/>
  </sheets>
  <definedNames>
    <definedName name="_xlnm.Print_Area" localSheetId="2">'ист'!$A$1:$E$37</definedName>
    <definedName name="_xlnm.Print_Area" localSheetId="1">'расх'!$A$1:$K$360</definedName>
  </definedNames>
  <calcPr fullCalcOnLoad="1"/>
</workbook>
</file>

<file path=xl/sharedStrings.xml><?xml version="1.0" encoding="utf-8"?>
<sst xmlns="http://schemas.openxmlformats.org/spreadsheetml/2006/main" count="3563" uniqueCount="610">
  <si>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</si>
  <si>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</si>
  <si>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</si>
  <si>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</si>
  <si>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</si>
  <si>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</si>
  <si>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</si>
  <si>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</si>
  <si>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</si>
  <si>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</si>
  <si>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</si>
  <si>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</si>
  <si>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</si>
  <si>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</si>
  <si>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</si>
  <si>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</si>
  <si>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</si>
  <si>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</si>
  <si>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</si>
  <si>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</si>
  <si>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</si>
  <si>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</si>
  <si>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</si>
  <si>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</si>
  <si>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</si>
  <si>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</si>
  <si>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</si>
  <si>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</si>
  <si>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</si>
  <si>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</si>
  <si>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</si>
  <si>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</si>
  <si>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</si>
  <si>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</si>
  <si>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</si>
  <si>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</si>
  <si>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</si>
  <si>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</si>
  <si>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</si>
  <si>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</si>
  <si>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</si>
  <si>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</si>
  <si>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</si>
  <si>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</si>
  <si>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</si>
  <si>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</si>
  <si>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</si>
  <si>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Культура</t>
  </si>
  <si>
    <t>Библиотеки</t>
  </si>
  <si>
    <t>442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</si>
  <si>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</si>
  <si>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</si>
  <si>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</si>
  <si>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</si>
  <si>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</si>
  <si>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</si>
  <si>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</si>
  <si>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</si>
  <si>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</si>
  <si>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</si>
  <si>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</si>
  <si>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</si>
  <si>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</si>
  <si>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</si>
  <si>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</si>
  <si>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</si>
  <si>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</si>
  <si>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</si>
  <si>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</si>
  <si>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</si>
  <si>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</si>
  <si>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</si>
  <si>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</si>
  <si>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</si>
  <si>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</si>
  <si>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</si>
  <si>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</si>
  <si>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</si>
  <si>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</si>
  <si>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</si>
  <si>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Районная программа "Адресная соцпомощь"</t>
  </si>
  <si>
    <t>022</t>
  </si>
  <si>
    <t>079</t>
  </si>
  <si>
    <t>Выравнивание бюджетной обеспеченности</t>
  </si>
  <si>
    <t>516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</si>
  <si>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</si>
  <si>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</si>
  <si>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</si>
  <si>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</si>
  <si>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</si>
  <si>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</si>
  <si>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</si>
  <si>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</si>
  <si>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</si>
  <si>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</si>
  <si>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</si>
  <si>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070</t>
  </si>
  <si>
    <t>Резервные фонды местных администраций</t>
  </si>
  <si>
    <t>006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</si>
  <si>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</si>
  <si>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</si>
  <si>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</si>
  <si>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</si>
  <si>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</si>
  <si>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</si>
  <si>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</si>
  <si>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</si>
  <si>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</si>
  <si>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(рублей)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</si>
  <si>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</si>
  <si>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</si>
  <si>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</si>
  <si>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</si>
  <si>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</si>
  <si>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(на формирование и исполнение бюджетов поселений)</t>
  </si>
  <si>
    <t>Руководство и управление в сфере установленных функций</t>
  </si>
  <si>
    <t>024</t>
  </si>
  <si>
    <t>Мероприятия в сфере культуры</t>
  </si>
  <si>
    <t>Обслуживание государственного и муниципального долга</t>
  </si>
  <si>
    <t>065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</si>
  <si>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</si>
  <si>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</si>
  <si>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</si>
  <si>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</si>
  <si>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</si>
  <si>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</si>
  <si>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</si>
  <si>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</si>
  <si>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</si>
  <si>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</si>
  <si>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</si>
  <si>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</si>
  <si>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</si>
  <si>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</si>
  <si>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</si>
  <si>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</si>
  <si>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</si>
  <si>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</si>
  <si>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>Мероприятия по предупреждению и ликвидации последствий чрезвычайных ситуаций и стихийных бедствий</t>
  </si>
  <si>
    <t>218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</si>
  <si>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</si>
  <si>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</si>
  <si>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</si>
  <si>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</si>
  <si>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</si>
  <si>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</si>
  <si>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</si>
  <si>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</si>
  <si>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</si>
  <si>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 xml:space="preserve">Мероприятия в сфере образования </t>
  </si>
  <si>
    <t>Энергосбережение и повышение энергетической эффективности до 2015 года</t>
  </si>
  <si>
    <t>530</t>
  </si>
  <si>
    <t>004</t>
  </si>
  <si>
    <t>Выполнение функций казенными учреждениями</t>
  </si>
  <si>
    <t>Выполнение функций казенными учреждениями (платные услуги)</t>
  </si>
  <si>
    <t>85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</si>
  <si>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</si>
  <si>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финансовое обеспечение выполнения муниципального задания</t>
  </si>
  <si>
    <t>110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</si>
  <si>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</si>
  <si>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</si>
  <si>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</si>
  <si>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</si>
  <si>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</si>
  <si>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Субсидии юридическим лицам (за исключением субсидий муниципальным учреждениям)</t>
  </si>
  <si>
    <t>Резервные целевые средства (на софинансирование субсидий, выделяемых району из бюджета РК)</t>
  </si>
  <si>
    <t>МКУ "Хозяйственная группа"</t>
  </si>
  <si>
    <t xml:space="preserve">Выполнение функций органами местного самоуправления </t>
  </si>
  <si>
    <t>870</t>
  </si>
  <si>
    <t>Комплексная безопасность МОУ Суоярвского района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</si>
  <si>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</si>
  <si>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</si>
  <si>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</si>
  <si>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</si>
  <si>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310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</si>
  <si>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</si>
  <si>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21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</si>
  <si>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</si>
  <si>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Выполнение функций органами местного самоуправления (Средства,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</si>
  <si>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организацию в границах поселения электро-, тепло-, газо- и водоснабжения населения, водоотведения, снабжения населения топливом)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</si>
  <si>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</si>
  <si>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</si>
  <si>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</si>
  <si>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Реализация районных программ "Комплексная программа по профилактике правонарушений", "Береги себя", "Безопасность дорожного движения"</t>
  </si>
  <si>
    <t>Ведомственная структура расходов бюджета муниципального образования "Суоярвский район" на 2013 год по разделам и подразделам, целевым статьям и видам расходов классификации расходов бюджетов</t>
  </si>
  <si>
    <t>612</t>
  </si>
  <si>
    <t>Субсидии бюджетным учреждениям на иные цели</t>
  </si>
  <si>
    <t>Субсидия на выравнивание муниципальных образований</t>
  </si>
  <si>
    <t>Коммунальное хозяйство</t>
  </si>
  <si>
    <t>Объекты коммунальной инфраструктуры</t>
  </si>
  <si>
    <t>45</t>
  </si>
  <si>
    <t>003</t>
  </si>
  <si>
    <t>40</t>
  </si>
  <si>
    <t>Субсидии на софинансирование объектов капитального строительства муниципальной собственности</t>
  </si>
  <si>
    <t>Софинансирование за счет средств местного бюджета субсидии на подготовку объектов ЖКХ к осенне-зимнему периоду 2012-2013 годы</t>
  </si>
  <si>
    <t>Дополнительная поддержка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</si>
  <si>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Субсидия на выравнивание бюджетной обеспеченности</t>
  </si>
  <si>
    <t>Субсидии бюджетным учреждениям на иные цели за счет бюджета РК</t>
  </si>
  <si>
    <t>Выполнение функций казенными учреждениями за счет ФБ</t>
  </si>
  <si>
    <t>Субсидии бюджетным учреждениям на иные цели за счет ФБ</t>
  </si>
  <si>
    <t xml:space="preserve">Субсидии бюджетным учреждениям на иные цели </t>
  </si>
  <si>
    <t>Выполнение функций органами местного самоуправления (за счет остатка на 01.01.2013)</t>
  </si>
  <si>
    <t>Субсидии на развитие дошкольного образования</t>
  </si>
  <si>
    <t>Выполнение функций казенными учреждениями (за счет остатка на 01.01.2013)</t>
  </si>
  <si>
    <t>Социальные выплаты (за счет остатка на 01.01.2013)</t>
  </si>
  <si>
    <t>Субсидии на осуществление первоочередных мероприятий по выполнению наказов избирателей (за счет переданных полномочий от  Вешкельского поселения)</t>
  </si>
  <si>
    <t>Федеральные целевые программы</t>
  </si>
  <si>
    <t>100</t>
  </si>
  <si>
    <t>Подпрограмма "Обеспечение жильем молодых семей"</t>
  </si>
  <si>
    <t>88</t>
  </si>
  <si>
    <t>20</t>
  </si>
  <si>
    <t>Региональные целевые программы</t>
  </si>
  <si>
    <t>522</t>
  </si>
  <si>
    <t>Обеспечение жильем молодых семей за счет средст бюджета РК</t>
  </si>
  <si>
    <t>Субсидии на подготовку объектов ЖКХ к осенне-зимнему периоду 2012-2013 годы</t>
  </si>
  <si>
    <t>Иные межбюджетные трансферты (за счет остатка на 01.01.2013 г)</t>
  </si>
  <si>
    <t>Реализация программы "Развитие и поддержка малого и среднего предпринимательства" за счет средств  бюджета РК</t>
  </si>
  <si>
    <t>Мероприятия в области строительства, архитектуры и градостроительства</t>
  </si>
  <si>
    <t>338</t>
  </si>
  <si>
    <t>Жилищное хозяйство</t>
  </si>
  <si>
    <t>Мероприятия по переселению граждан из аварийного жилищного фонда (Государственная корпорация "Фонд содействия реформирования ЖКХ")</t>
  </si>
  <si>
    <t>098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</si>
  <si>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</si>
  <si>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524</t>
  </si>
  <si>
    <t>Софинансирование за счет средств местного бюджета средств дополнительной поддержки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</si>
  <si>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Софинансирование за счет средств местного бюджета субсидии на развитие дошкольного образования</t>
  </si>
  <si>
    <t>субсидии бюджетам муниципальных районов на дополнительную поддержку развития дополнительного образования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</si>
  <si>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</si>
  <si>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средств местного бюджета субсидии на питание школьников в рамках РЦП "Адресная социальная помощь"</t>
  </si>
  <si>
    <t>Софинансирование за счет средств местного бюджетасубсидии бюджетам муниципальных районов на дополнительную поддержку развития дополнительного образования</t>
  </si>
  <si>
    <t>Субсидии на организацию отдыха детей в каникулярное время</t>
  </si>
  <si>
    <t>Мероприятия в сфере образования</t>
  </si>
  <si>
    <t>Прочие межбюджетные трансферты общего характера</t>
  </si>
  <si>
    <t>Осуществление первоочередных мероприятий по выполнению поступивших в период избирательной кампании наказов избирателей</t>
  </si>
  <si>
    <t>15</t>
  </si>
  <si>
    <t>Структура доходов бюджета муниципального образования "Суоярвский район" в 2013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</si>
  <si>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</si>
  <si>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</si>
  <si>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</si>
  <si>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</si>
  <si>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</si>
  <si>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</si>
  <si>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</si>
  <si>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</si>
  <si>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</si>
  <si>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</si>
  <si>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</si>
  <si>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</si>
  <si>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</si>
  <si>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</si>
  <si>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</si>
  <si>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</si>
  <si>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</si>
  <si>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</si>
  <si>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</si>
  <si>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</si>
  <si>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</si>
  <si>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</si>
  <si>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</si>
  <si>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</si>
  <si>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</si>
  <si>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</si>
  <si>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</si>
  <si>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</si>
  <si>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</si>
  <si>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</si>
  <si>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</si>
  <si>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</si>
  <si>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</si>
  <si>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</si>
  <si>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</si>
  <si>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</si>
  <si>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</si>
  <si>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</si>
  <si>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</si>
  <si>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</si>
  <si>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</si>
  <si>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</si>
  <si>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</si>
  <si>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</si>
  <si>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</si>
  <si>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</si>
  <si>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</si>
  <si>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</si>
  <si>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</si>
  <si>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</si>
  <si>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</si>
  <si>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</si>
  <si>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</si>
  <si>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</si>
  <si>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</si>
  <si>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</si>
  <si>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</si>
  <si>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</si>
  <si>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</si>
  <si>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</si>
  <si>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</si>
  <si>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</si>
  <si>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</si>
  <si>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</si>
  <si>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5.2.</t>
  </si>
  <si>
    <t>182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</si>
  <si>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</si>
  <si>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</si>
  <si>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</si>
  <si>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</si>
  <si>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</si>
  <si>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</si>
  <si>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</si>
  <si>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</si>
  <si>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</si>
  <si>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</si>
  <si>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</si>
  <si>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</si>
  <si>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5.1.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</si>
  <si>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</si>
  <si>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5.1.1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</si>
  <si>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</si>
  <si>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5.1.2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</si>
  <si>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</si>
  <si>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5.1.3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</si>
  <si>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</si>
  <si>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</si>
  <si>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5.1.4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</si>
  <si>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</si>
  <si>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</si>
  <si>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</si>
  <si>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</si>
  <si>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</si>
  <si>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</si>
  <si>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</si>
  <si>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</si>
  <si>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</si>
  <si>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</si>
  <si>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7.2.</t>
  </si>
  <si>
    <t>Прочие доходы от оказания платных услуг и компенсации затрат государства</t>
  </si>
  <si>
    <t>995</t>
  </si>
  <si>
    <t>130</t>
  </si>
  <si>
    <t>7.2.1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</si>
  <si>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</si>
  <si>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</si>
  <si>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</si>
  <si>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8.1.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</si>
  <si>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</si>
  <si>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8.1.1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</si>
  <si>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</si>
  <si>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</si>
  <si>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8.1.2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</si>
  <si>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</si>
  <si>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</si>
  <si>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8.2.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</si>
  <si>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</si>
  <si>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</si>
  <si>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8.2.1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</si>
  <si>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</si>
  <si>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8.2.2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</si>
  <si>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</si>
  <si>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</si>
  <si>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</si>
  <si>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</si>
  <si>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</si>
  <si>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</si>
  <si>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</si>
  <si>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</si>
  <si>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9.1.1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</si>
  <si>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</si>
  <si>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</si>
  <si>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</si>
  <si>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9.2.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</si>
  <si>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</si>
  <si>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</si>
  <si>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</si>
  <si>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9.3.</t>
  </si>
  <si>
    <t>Денежные взыскания (штрафы) за нарушение земельного законодательства</t>
  </si>
  <si>
    <t>060</t>
  </si>
  <si>
    <t>9.4.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</si>
  <si>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</si>
  <si>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</si>
  <si>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</si>
  <si>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</si>
  <si>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</si>
  <si>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</si>
  <si>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</si>
  <si>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9.6.</t>
  </si>
  <si>
    <t>Прочие поступления от денежных взысканий (штрафов) и иных сумм в возмещение ущерба</t>
  </si>
  <si>
    <t>90</t>
  </si>
  <si>
    <t>9.6.1.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</si>
  <si>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</si>
  <si>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</si>
  <si>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</si>
  <si>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</si>
  <si>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</si>
  <si>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</si>
  <si>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</si>
  <si>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</si>
  <si>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</si>
  <si>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</si>
  <si>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</si>
  <si>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</si>
  <si>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</si>
  <si>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</si>
  <si>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</si>
  <si>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</si>
  <si>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</si>
  <si>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</si>
  <si>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</si>
  <si>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</si>
  <si>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</si>
  <si>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</si>
  <si>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</si>
  <si>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</si>
  <si>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</si>
  <si>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</si>
  <si>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</si>
  <si>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</si>
  <si>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088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</si>
  <si>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</si>
  <si>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</si>
  <si>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</si>
  <si>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</si>
  <si>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</si>
  <si>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</si>
  <si>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</si>
  <si>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</si>
  <si>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</si>
  <si>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</si>
  <si>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</si>
  <si>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</si>
  <si>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</si>
  <si>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</si>
  <si>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</si>
  <si>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</si>
  <si>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</si>
  <si>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</si>
  <si>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</si>
  <si>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</si>
  <si>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</si>
  <si>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</si>
  <si>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</si>
  <si>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</si>
  <si>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</si>
  <si>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</si>
  <si>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</si>
  <si>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</si>
  <si>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</si>
  <si>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</si>
  <si>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</si>
  <si>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</si>
  <si>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</si>
  <si>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</si>
  <si>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</si>
  <si>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</si>
  <si>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</si>
  <si>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</si>
  <si>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</si>
  <si>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</si>
  <si>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</si>
  <si>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</si>
  <si>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</si>
  <si>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</si>
  <si>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</si>
  <si>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</si>
  <si>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</si>
  <si>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</si>
  <si>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</si>
  <si>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</si>
  <si>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</si>
  <si>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</si>
  <si>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</si>
  <si>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>Источники финансирования дефицита бюджета на 2013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</si>
  <si>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</si>
  <si>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</si>
  <si>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</si>
  <si>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</si>
  <si>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</si>
  <si>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</si>
  <si>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</si>
  <si>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</si>
  <si>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</si>
  <si>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</si>
  <si>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</si>
  <si>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</si>
  <si>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</si>
  <si>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</si>
  <si>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</si>
  <si>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</si>
  <si>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</si>
  <si>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</si>
  <si>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</si>
  <si>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</si>
  <si>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</si>
  <si>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</si>
  <si>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</si>
  <si>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</si>
  <si>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</si>
  <si>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</si>
  <si>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</si>
  <si>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</si>
  <si>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</si>
  <si>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</si>
  <si>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</si>
  <si>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</si>
  <si>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</si>
  <si>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</si>
  <si>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</si>
  <si>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</si>
  <si>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</si>
  <si>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</si>
  <si>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</si>
  <si>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</si>
  <si>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</si>
  <si>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</si>
  <si>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</si>
  <si>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</si>
  <si>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</si>
  <si>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</si>
  <si>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</si>
  <si>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</si>
  <si>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в % к плану</t>
  </si>
  <si>
    <t>Субсидии на господдержку малого и среднего предпринимательства</t>
  </si>
  <si>
    <t>009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</si>
  <si>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</si>
  <si>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</si>
  <si>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023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</si>
  <si>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</si>
  <si>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Дорожное хозяйство(дорожные фонды)</t>
  </si>
  <si>
    <t>Субсидия на реализацию программы "Развитие дорожного хозяйства Республики Карелия до 2015 года"</t>
  </si>
  <si>
    <t xml:space="preserve">Иные межбюджетные трансферты </t>
  </si>
  <si>
    <t>Модернизация региональных систем общего образования</t>
  </si>
  <si>
    <t>436</t>
  </si>
  <si>
    <t>Субсидия на модернизацию региональных систем общего образования</t>
  </si>
  <si>
    <t>Софинансирование за счет средств местного бюджета субсидии на модернизацию региональных систем общего образования</t>
  </si>
  <si>
    <t>Софинансирование за счет средств местного бюджетаСубсидии на организацию отдыха детей в каникулярное время</t>
  </si>
  <si>
    <t>Дворцы и дома культуры, другие учреждения культуры и средств массовой информации</t>
  </si>
  <si>
    <t>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</si>
  <si>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</si>
  <si>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Кинематография</t>
  </si>
  <si>
    <t>Учреждения культуры и мероприятия в сфере культуры и кинематографии</t>
  </si>
  <si>
    <t>Здравоохранение</t>
  </si>
  <si>
    <t>Стационарная медицинская помощь</t>
  </si>
  <si>
    <t>470</t>
  </si>
  <si>
    <t>Реализация программы "Развитие и поддержка малого и среднего предпринимательства" за счет средств федерального бюджета</t>
  </si>
  <si>
    <t>345</t>
  </si>
  <si>
    <t>Исполнено за 2013 год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</si>
  <si>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</si>
  <si>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</si>
  <si>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</si>
  <si>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</si>
  <si>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</si>
  <si>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</si>
  <si>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</si>
  <si>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</si>
  <si>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Субсидия на реализацию программы "Безопасность дорожного движения в Республике Карелия до 2015 года"</t>
  </si>
  <si>
    <t>24</t>
  </si>
  <si>
    <t>Проведение мероприятий БЦП "Развитие сферы культуры в РК на период до 2012 года"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</si>
  <si>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(Лоймола погашение задолженности по ЗП)</t>
  </si>
  <si>
    <t>Государственная поддержка муниципальных учреждений культуры, находящихся на территориях сельских поселений (для Поросозерского сельского поселения)</t>
  </si>
  <si>
    <t>Субсидия на реализацию государственной программы РФ "Доступная среда" на 2011-2015 года (средства федерального бюджета)</t>
  </si>
  <si>
    <t>Субсидия на реализацию государственной программы РФ "Доступная среда" на 2011-2015 года (средства бюджета РК)</t>
  </si>
  <si>
    <t>*700</t>
  </si>
  <si>
    <t>Приложение № 1 к решению Совета депутатов "Об исполнении бюджета муниципального образования "Суоярвский район" за  2013 год"</t>
  </si>
  <si>
    <t>Плата за выбросы загрязняющих веществ в водные объекты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</si>
  <si>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</si>
  <si>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</si>
  <si>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</si>
  <si>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прочие субсидии, всего</t>
  </si>
  <si>
    <t>АСП</t>
  </si>
  <si>
    <t>молоко нач.шк</t>
  </si>
  <si>
    <t>"Развитие сф.культуры"</t>
  </si>
  <si>
    <t>безопас.дорож.движ</t>
  </si>
  <si>
    <t>отдых детей в каникулы</t>
  </si>
  <si>
    <t>реализ Указа През.№597 (дошк)</t>
  </si>
  <si>
    <t>реализ Указа През.№597(культ)</t>
  </si>
  <si>
    <t>развитие дошк.образ</t>
  </si>
  <si>
    <t>развитие дополн.образ</t>
  </si>
  <si>
    <t>наказы</t>
  </si>
  <si>
    <t>выравнивание БО</t>
  </si>
  <si>
    <t>ремонт объектов ЖКХ к зиме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</si>
  <si>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</si>
  <si>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</si>
  <si>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</si>
  <si>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</si>
  <si>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</si>
  <si>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</si>
  <si>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</si>
  <si>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</si>
  <si>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</si>
  <si>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</si>
  <si>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</si>
  <si>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</si>
  <si>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опека и попеч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</si>
  <si>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</si>
  <si>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Приложение № 2 к решению Совета депутатов "Об исполнении бюджета муниципального образования "Суоярвский район" за 2013 год"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</si>
  <si>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</si>
  <si>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(городу на ПСД по строительству теплотрассы -540990,5, строительство теплотрассы - 1422 т.р.)</t>
  </si>
  <si>
    <t>Благоустройство</t>
  </si>
  <si>
    <t>Уличное освещение</t>
  </si>
  <si>
    <t>600</t>
  </si>
  <si>
    <t>Модернизация регионально-муниципальных систем дошкольного образования за счет ФБ</t>
  </si>
  <si>
    <t>89</t>
  </si>
  <si>
    <t>Модернизация регионально-муниципальных систем дошкольного образования за счет средств бюджета РК</t>
  </si>
  <si>
    <t>521</t>
  </si>
  <si>
    <t>Выполнение функций казенными учреждениями за счет бюджета РК</t>
  </si>
  <si>
    <t>за счет собственных</t>
  </si>
  <si>
    <t>за счет остатка на 01.01.2013 года</t>
  </si>
  <si>
    <t>за сч.платных</t>
  </si>
  <si>
    <t>за сч целевых от РК</t>
  </si>
  <si>
    <t>за сч целевых от поселений</t>
  </si>
  <si>
    <t>Приложение № 3 к решению Совета депутатов "Об исполнении бюджета муниципального образования "Суоярвский район" за 2013 год"</t>
  </si>
  <si>
    <t xml:space="preserve">Исполнено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</si>
</sst>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</numFmts>
  <fonts count="9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9"/>
      <color indexed="17"/>
      <name val="Arial"/>
      <family val="2"/>
    </font>
    <font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u val="single"/>
      <sz val="12"/>
      <color indexed="14"/>
      <name val="Times New Roman"/>
      <family val="1"/>
    </font>
    <font>
      <b/>
      <sz val="12"/>
      <color indexed="56"/>
      <name val="Times New Roman"/>
      <family val="1"/>
    </font>
    <font>
      <sz val="12"/>
      <color indexed="12"/>
      <name val="Times New Roman"/>
      <family val="1"/>
    </font>
    <font>
      <sz val="12"/>
      <name val="Arial Cyr"/>
      <family val="0"/>
    </font>
    <font>
      <i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4"/>
      <color indexed="56"/>
      <name val="Times New Roman"/>
      <family val="1"/>
    </font>
    <font>
      <b/>
      <sz val="10"/>
      <color indexed="56"/>
      <name val="Arial Cyr"/>
      <family val="0"/>
    </font>
    <font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/>
      <name val="Times New Roman"/>
      <family val="1"/>
    </font>
    <font>
      <sz val="14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3"/>
      <name val="Arial Cyr"/>
      <family val="0"/>
    </font>
    <font>
      <sz val="8"/>
      <color theme="3"/>
      <name val="Times New Roman"/>
      <family val="1"/>
    </font>
    <font>
      <sz val="10"/>
      <color rgb="FF80008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56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2" xfId="0" applyNumberFormat="1" applyFont="1" applyFill="1" applyBorder="1" applyAlignment="1">
      <alignment horizontal="left" vertical="top"/>
    </xf>
    <xf numFmtId="49" fontId="3" fillId="32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2" fillId="32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3" fillId="32" borderId="1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5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>
      <alignment horizontal="center" vertical="top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7" fillId="0" borderId="15" xfId="0" applyNumberFormat="1" applyFont="1" applyFill="1" applyBorder="1" applyAlignment="1" applyProtection="1">
      <alignment horizontal="center" vertical="top"/>
      <protection locked="0"/>
    </xf>
    <xf numFmtId="49" fontId="11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12" fillId="32" borderId="15" xfId="0" applyNumberFormat="1" applyFont="1" applyFill="1" applyBorder="1" applyAlignment="1" applyProtection="1">
      <alignment horizontal="center" vertical="top"/>
      <protection locked="0"/>
    </xf>
    <xf numFmtId="49" fontId="9" fillId="0" borderId="15" xfId="0" applyNumberFormat="1" applyFont="1" applyFill="1" applyBorder="1" applyAlignment="1" applyProtection="1">
      <alignment horizontal="center" vertical="top"/>
      <protection locked="0"/>
    </xf>
    <xf numFmtId="49" fontId="7" fillId="0" borderId="15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49" fontId="12" fillId="32" borderId="15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right" vertical="top" wrapText="1"/>
      <protection/>
    </xf>
    <xf numFmtId="49" fontId="11" fillId="0" borderId="15" xfId="0" applyNumberFormat="1" applyFont="1" applyBorder="1" applyAlignment="1" applyProtection="1">
      <alignment horizontal="center" vertical="top"/>
      <protection locked="0"/>
    </xf>
    <xf numFmtId="49" fontId="17" fillId="0" borderId="15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1" fillId="0" borderId="20" xfId="0" applyNumberFormat="1" applyFont="1" applyBorder="1" applyAlignment="1" applyProtection="1">
      <alignment horizontal="center" vertical="top"/>
      <protection locked="0"/>
    </xf>
    <xf numFmtId="49" fontId="17" fillId="0" borderId="2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3" fillId="32" borderId="28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3" fillId="33" borderId="20" xfId="0" applyNumberFormat="1" applyFont="1" applyFill="1" applyBorder="1" applyAlignment="1" applyProtection="1">
      <alignment horizontal="center" vertical="top"/>
      <protection locked="0"/>
    </xf>
    <xf numFmtId="49" fontId="12" fillId="32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6" fillId="0" borderId="20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7" fillId="0" borderId="27" xfId="0" applyNumberFormat="1" applyFont="1" applyFill="1" applyBorder="1" applyAlignment="1" applyProtection="1">
      <alignment horizontal="center" vertical="top"/>
      <protection locked="0"/>
    </xf>
    <xf numFmtId="4" fontId="12" fillId="32" borderId="30" xfId="0" applyNumberFormat="1" applyFont="1" applyFill="1" applyBorder="1" applyAlignment="1">
      <alignment vertical="top"/>
    </xf>
    <xf numFmtId="0" fontId="17" fillId="0" borderId="11" xfId="0" applyNumberFormat="1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33" borderId="21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12" fillId="33" borderId="15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 locked="0"/>
    </xf>
    <xf numFmtId="49" fontId="12" fillId="33" borderId="20" xfId="0" applyNumberFormat="1" applyFont="1" applyFill="1" applyBorder="1" applyAlignment="1" applyProtection="1">
      <alignment horizontal="center" vertical="top"/>
      <protection locked="0"/>
    </xf>
    <xf numFmtId="4" fontId="12" fillId="33" borderId="24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top"/>
    </xf>
    <xf numFmtId="4" fontId="17" fillId="0" borderId="24" xfId="0" applyNumberFormat="1" applyFont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/>
    </xf>
    <xf numFmtId="4" fontId="12" fillId="33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center" vertical="top"/>
      <protection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7" fillId="0" borderId="32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" fillId="0" borderId="2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6" fontId="20" fillId="0" borderId="10" xfId="55" applyNumberFormat="1" applyFont="1" applyFill="1" applyBorder="1" applyAlignment="1" applyProtection="1">
      <alignment horizontal="left" vertical="top" wrapText="1"/>
      <protection hidden="1"/>
    </xf>
    <xf numFmtId="0" fontId="17" fillId="0" borderId="2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" fontId="21" fillId="0" borderId="10" xfId="0" applyNumberFormat="1" applyFont="1" applyBorder="1" applyAlignment="1">
      <alignment vertical="top"/>
    </xf>
    <xf numFmtId="49" fontId="17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17" fillId="0" borderId="29" xfId="0" applyNumberFormat="1" applyFont="1" applyBorder="1" applyAlignment="1" applyProtection="1">
      <alignment horizontal="center" vertical="top"/>
      <protection locked="0"/>
    </xf>
    <xf numFmtId="4" fontId="17" fillId="0" borderId="26" xfId="0" applyNumberFormat="1" applyFont="1" applyBorder="1" applyAlignment="1">
      <alignment vertical="top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49" fontId="2" fillId="0" borderId="21" xfId="0" applyNumberFormat="1" applyFont="1" applyFill="1" applyBorder="1" applyAlignment="1">
      <alignment horizontal="left" vertical="center" wrapText="1"/>
    </xf>
    <xf numFmtId="4" fontId="2" fillId="0" borderId="26" xfId="0" applyNumberFormat="1" applyFont="1" applyBorder="1" applyAlignment="1">
      <alignment vertical="top"/>
    </xf>
    <xf numFmtId="0" fontId="17" fillId="0" borderId="18" xfId="0" applyFont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horizontal="center" vertical="justify"/>
      <protection/>
    </xf>
    <xf numFmtId="49" fontId="11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5" xfId="0" applyNumberFormat="1" applyFont="1" applyFill="1" applyBorder="1" applyAlignment="1" applyProtection="1">
      <alignment horizontal="center" vertical="justify"/>
      <protection locked="0"/>
    </xf>
    <xf numFmtId="49" fontId="17" fillId="0" borderId="10" xfId="0" applyNumberFormat="1" applyFont="1" applyBorder="1" applyAlignment="1" applyProtection="1">
      <alignment horizontal="center" vertical="justify"/>
      <protection locked="0"/>
    </xf>
    <xf numFmtId="49" fontId="2" fillId="0" borderId="15" xfId="0" applyNumberFormat="1" applyFont="1" applyFill="1" applyBorder="1" applyAlignment="1" applyProtection="1">
      <alignment horizontal="center" vertical="justify"/>
      <protection locked="0"/>
    </xf>
    <xf numFmtId="49" fontId="2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5" xfId="0" applyNumberFormat="1" applyFont="1" applyFill="1" applyBorder="1" applyAlignment="1" applyProtection="1">
      <alignment horizontal="center" vertical="justify"/>
      <protection/>
    </xf>
    <xf numFmtId="49" fontId="2" fillId="0" borderId="15" xfId="0" applyNumberFormat="1" applyFont="1" applyFill="1" applyBorder="1" applyAlignment="1" applyProtection="1">
      <alignment horizontal="center" vertical="justify"/>
      <protection/>
    </xf>
    <xf numFmtId="0" fontId="11" fillId="0" borderId="11" xfId="0" applyFont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1" fillId="0" borderId="26" xfId="0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49" fontId="25" fillId="0" borderId="0" xfId="0" applyNumberFormat="1" applyFont="1" applyAlignment="1">
      <alignment horizontal="center" vertical="top"/>
    </xf>
    <xf numFmtId="3" fontId="25" fillId="0" borderId="0" xfId="0" applyNumberFormat="1" applyFont="1" applyAlignment="1">
      <alignment horizontal="right" vertical="top"/>
    </xf>
    <xf numFmtId="0" fontId="26" fillId="0" borderId="3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vertical="top"/>
    </xf>
    <xf numFmtId="4" fontId="28" fillId="0" borderId="10" xfId="0" applyNumberFormat="1" applyFont="1" applyBorder="1" applyAlignment="1">
      <alignment vertical="top"/>
    </xf>
    <xf numFmtId="3" fontId="27" fillId="0" borderId="10" xfId="0" applyNumberFormat="1" applyFont="1" applyBorder="1" applyAlignment="1">
      <alignment vertical="top"/>
    </xf>
    <xf numFmtId="3" fontId="27" fillId="0" borderId="24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4" fontId="12" fillId="0" borderId="10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30" fillId="0" borderId="13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31" fillId="0" borderId="10" xfId="0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vertical="top"/>
    </xf>
    <xf numFmtId="3" fontId="31" fillId="0" borderId="10" xfId="0" applyNumberFormat="1" applyFont="1" applyBorder="1" applyAlignment="1">
      <alignment vertical="top"/>
    </xf>
    <xf numFmtId="3" fontId="31" fillId="0" borderId="13" xfId="0" applyNumberFormat="1" applyFont="1" applyBorder="1" applyAlignment="1">
      <alignment vertical="top"/>
    </xf>
    <xf numFmtId="0" fontId="32" fillId="0" borderId="0" xfId="0" applyFont="1" applyAlignment="1">
      <alignment vertical="top"/>
    </xf>
    <xf numFmtId="49" fontId="25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wrapText="1"/>
    </xf>
    <xf numFmtId="4" fontId="23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13" xfId="0" applyNumberFormat="1" applyFont="1" applyBorder="1" applyAlignment="1">
      <alignment vertical="top"/>
    </xf>
    <xf numFmtId="0" fontId="23" fillId="0" borderId="10" xfId="0" applyFont="1" applyBorder="1" applyAlignment="1">
      <alignment vertical="justify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0" applyFont="1" applyBorder="1" applyAlignment="1">
      <alignment vertical="center"/>
    </xf>
    <xf numFmtId="178" fontId="23" fillId="0" borderId="10" xfId="53" applyNumberFormat="1" applyFont="1" applyFill="1" applyBorder="1" applyAlignment="1" applyProtection="1">
      <alignment horizontal="right" vertical="justify"/>
      <protection hidden="1"/>
    </xf>
    <xf numFmtId="0" fontId="23" fillId="0" borderId="0" xfId="0" applyFont="1" applyAlignment="1">
      <alignment horizontal="justify" vertical="top" wrapText="1"/>
    </xf>
    <xf numFmtId="0" fontId="34" fillId="0" borderId="10" xfId="0" applyFont="1" applyBorder="1" applyAlignment="1">
      <alignment vertical="justify" wrapText="1"/>
    </xf>
    <xf numFmtId="0" fontId="32" fillId="0" borderId="10" xfId="0" applyFont="1" applyBorder="1" applyAlignment="1">
      <alignment vertical="top"/>
    </xf>
    <xf numFmtId="49" fontId="32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2" fillId="0" borderId="10" xfId="53" applyNumberFormat="1" applyFont="1" applyFill="1" applyBorder="1" applyAlignment="1" applyProtection="1">
      <alignment vertical="center" wrapText="1"/>
      <protection hidden="1"/>
    </xf>
    <xf numFmtId="49" fontId="35" fillId="0" borderId="10" xfId="0" applyNumberFormat="1" applyFont="1" applyBorder="1" applyAlignment="1">
      <alignment horizontal="center" vertical="top" wrapText="1"/>
    </xf>
    <xf numFmtId="16" fontId="31" fillId="0" borderId="10" xfId="0" applyNumberFormat="1" applyFont="1" applyBorder="1" applyAlignment="1">
      <alignment vertical="top"/>
    </xf>
    <xf numFmtId="0" fontId="32" fillId="0" borderId="0" xfId="0" applyFont="1" applyAlignment="1">
      <alignment wrapText="1"/>
    </xf>
    <xf numFmtId="49" fontId="32" fillId="0" borderId="10" xfId="0" applyNumberFormat="1" applyFont="1" applyBorder="1" applyAlignment="1" quotePrefix="1">
      <alignment horizontal="center" vertical="top" wrapText="1"/>
    </xf>
    <xf numFmtId="0" fontId="12" fillId="0" borderId="10" xfId="0" applyFont="1" applyBorder="1" applyAlignment="1">
      <alignment vertical="justify" wrapText="1"/>
    </xf>
    <xf numFmtId="49" fontId="12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49" fontId="34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22" fillId="0" borderId="0" xfId="0" applyFont="1" applyAlignment="1">
      <alignment vertical="top"/>
    </xf>
    <xf numFmtId="0" fontId="3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vertical="top"/>
    </xf>
    <xf numFmtId="0" fontId="23" fillId="0" borderId="10" xfId="53" applyNumberFormat="1" applyFont="1" applyFill="1" applyBorder="1" applyAlignment="1" applyProtection="1">
      <alignment vertical="center" wrapText="1"/>
      <protection hidden="1"/>
    </xf>
    <xf numFmtId="49" fontId="31" fillId="0" borderId="10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3" xfId="0" applyNumberFormat="1" applyFont="1" applyBorder="1" applyAlignment="1">
      <alignment vertical="top"/>
    </xf>
    <xf numFmtId="0" fontId="28" fillId="0" borderId="0" xfId="0" applyFont="1" applyAlignment="1">
      <alignment vertical="top"/>
    </xf>
    <xf numFmtId="3" fontId="30" fillId="0" borderId="10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vertical="top"/>
    </xf>
    <xf numFmtId="4" fontId="12" fillId="0" borderId="10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0" fontId="34" fillId="0" borderId="10" xfId="0" applyFont="1" applyBorder="1" applyAlignment="1">
      <alignment vertical="justify" wrapText="1"/>
    </xf>
    <xf numFmtId="0" fontId="23" fillId="0" borderId="0" xfId="0" applyFont="1" applyAlignment="1">
      <alignment wrapText="1"/>
    </xf>
    <xf numFmtId="0" fontId="38" fillId="0" borderId="10" xfId="53" applyNumberFormat="1" applyFont="1" applyFill="1" applyBorder="1" applyAlignment="1" applyProtection="1">
      <alignment vertical="center" wrapText="1"/>
      <protection hidden="1"/>
    </xf>
    <xf numFmtId="0" fontId="31" fillId="0" borderId="24" xfId="0" applyFont="1" applyBorder="1" applyAlignment="1">
      <alignment vertical="top"/>
    </xf>
    <xf numFmtId="4" fontId="35" fillId="0" borderId="10" xfId="0" applyNumberFormat="1" applyFont="1" applyBorder="1" applyAlignment="1">
      <alignment vertical="top"/>
    </xf>
    <xf numFmtId="0" fontId="35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5" fillId="0" borderId="10" xfId="53" applyNumberFormat="1" applyFont="1" applyFill="1" applyBorder="1" applyAlignment="1" applyProtection="1">
      <alignment horizontal="right" vertical="justify"/>
      <protection hidden="1"/>
    </xf>
    <xf numFmtId="0" fontId="32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5" fillId="0" borderId="10" xfId="0" applyNumberFormat="1" applyFont="1" applyBorder="1" applyAlignment="1">
      <alignment vertical="justify"/>
    </xf>
    <xf numFmtId="3" fontId="27" fillId="0" borderId="13" xfId="0" applyNumberFormat="1" applyFont="1" applyBorder="1" applyAlignment="1">
      <alignment vertical="top"/>
    </xf>
    <xf numFmtId="4" fontId="32" fillId="0" borderId="10" xfId="0" applyNumberFormat="1" applyFont="1" applyBorder="1" applyAlignment="1">
      <alignment vertical="justify"/>
    </xf>
    <xf numFmtId="16" fontId="25" fillId="0" borderId="10" xfId="0" applyNumberFormat="1" applyFont="1" applyBorder="1" applyAlignment="1">
      <alignment vertical="top"/>
    </xf>
    <xf numFmtId="0" fontId="34" fillId="0" borderId="10" xfId="0" applyFont="1" applyBorder="1" applyAlignment="1">
      <alignment vertical="distributed" wrapText="1"/>
    </xf>
    <xf numFmtId="16" fontId="30" fillId="0" borderId="10" xfId="0" applyNumberFormat="1" applyFont="1" applyBorder="1" applyAlignment="1">
      <alignment vertical="top"/>
    </xf>
    <xf numFmtId="4" fontId="12" fillId="0" borderId="10" xfId="0" applyNumberFormat="1" applyFont="1" applyBorder="1" applyAlignment="1">
      <alignment vertical="justify"/>
    </xf>
    <xf numFmtId="0" fontId="23" fillId="0" borderId="10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40" fillId="0" borderId="10" xfId="0" applyFont="1" applyBorder="1" applyAlignment="1">
      <alignment vertical="justify" wrapText="1"/>
    </xf>
    <xf numFmtId="4" fontId="40" fillId="0" borderId="10" xfId="0" applyNumberFormat="1" applyFont="1" applyBorder="1" applyAlignment="1">
      <alignment vertical="top"/>
    </xf>
    <xf numFmtId="0" fontId="31" fillId="0" borderId="15" xfId="0" applyFont="1" applyBorder="1" applyAlignment="1">
      <alignment vertical="top"/>
    </xf>
    <xf numFmtId="0" fontId="31" fillId="0" borderId="16" xfId="0" applyFont="1" applyBorder="1" applyAlignment="1">
      <alignment vertical="top"/>
    </xf>
    <xf numFmtId="0" fontId="27" fillId="0" borderId="17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40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49" fontId="34" fillId="0" borderId="24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justify"/>
    </xf>
    <xf numFmtId="3" fontId="25" fillId="0" borderId="15" xfId="0" applyNumberFormat="1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34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1" fontId="25" fillId="0" borderId="15" xfId="0" applyNumberFormat="1" applyFont="1" applyBorder="1" applyAlignment="1">
      <alignment vertical="top"/>
    </xf>
    <xf numFmtId="1" fontId="25" fillId="0" borderId="10" xfId="0" applyNumberFormat="1" applyFont="1" applyBorder="1" applyAlignment="1">
      <alignment vertical="top"/>
    </xf>
    <xf numFmtId="1" fontId="25" fillId="0" borderId="13" xfId="0" applyNumberFormat="1" applyFont="1" applyBorder="1" applyAlignment="1">
      <alignment vertical="top"/>
    </xf>
    <xf numFmtId="0" fontId="32" fillId="0" borderId="10" xfId="0" applyFont="1" applyBorder="1" applyAlignment="1">
      <alignment vertical="justify" wrapText="1"/>
    </xf>
    <xf numFmtId="1" fontId="25" fillId="0" borderId="34" xfId="0" applyNumberFormat="1" applyFont="1" applyBorder="1" applyAlignment="1">
      <alignment vertical="top"/>
    </xf>
    <xf numFmtId="1" fontId="25" fillId="0" borderId="24" xfId="0" applyNumberFormat="1" applyFont="1" applyBorder="1" applyAlignment="1">
      <alignment vertical="top"/>
    </xf>
    <xf numFmtId="1" fontId="31" fillId="0" borderId="15" xfId="0" applyNumberFormat="1" applyFont="1" applyBorder="1" applyAlignment="1">
      <alignment vertical="top"/>
    </xf>
    <xf numFmtId="1" fontId="31" fillId="0" borderId="10" xfId="0" applyNumberFormat="1" applyFont="1" applyBorder="1" applyAlignment="1">
      <alignment vertical="top"/>
    </xf>
    <xf numFmtId="1" fontId="25" fillId="0" borderId="25" xfId="0" applyNumberFormat="1" applyFont="1" applyBorder="1" applyAlignment="1">
      <alignment vertical="top"/>
    </xf>
    <xf numFmtId="1" fontId="25" fillId="0" borderId="26" xfId="0" applyNumberFormat="1" applyFont="1" applyBorder="1" applyAlignment="1">
      <alignment vertical="top"/>
    </xf>
    <xf numFmtId="3" fontId="25" fillId="0" borderId="0" xfId="0" applyNumberFormat="1" applyFont="1" applyAlignment="1">
      <alignment vertical="top"/>
    </xf>
    <xf numFmtId="0" fontId="25" fillId="0" borderId="24" xfId="0" applyFont="1" applyBorder="1" applyAlignment="1">
      <alignment vertical="top"/>
    </xf>
    <xf numFmtId="16" fontId="31" fillId="0" borderId="24" xfId="0" applyNumberFormat="1" applyFont="1" applyBorder="1" applyAlignment="1">
      <alignment vertical="top"/>
    </xf>
    <xf numFmtId="0" fontId="23" fillId="0" borderId="24" xfId="0" applyFont="1" applyBorder="1" applyAlignment="1">
      <alignment vertical="justify" wrapText="1"/>
    </xf>
    <xf numFmtId="49" fontId="23" fillId="0" borderId="24" xfId="0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vertical="top"/>
    </xf>
    <xf numFmtId="16" fontId="31" fillId="0" borderId="16" xfId="0" applyNumberFormat="1" applyFont="1" applyBorder="1" applyAlignment="1">
      <alignment vertical="top"/>
    </xf>
    <xf numFmtId="0" fontId="23" fillId="0" borderId="13" xfId="0" applyFont="1" applyBorder="1" applyAlignment="1">
      <alignment vertical="justify" wrapText="1"/>
    </xf>
    <xf numFmtId="49" fontId="23" fillId="0" borderId="13" xfId="0" applyNumberFormat="1" applyFont="1" applyBorder="1" applyAlignment="1">
      <alignment horizontal="center" vertical="top" wrapText="1"/>
    </xf>
    <xf numFmtId="171" fontId="41" fillId="0" borderId="10" xfId="56" applyNumberFormat="1" applyFont="1" applyBorder="1" applyAlignment="1">
      <alignment/>
      <protection/>
    </xf>
    <xf numFmtId="0" fontId="44" fillId="0" borderId="0" xfId="0" applyFont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46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9" fontId="45" fillId="0" borderId="0" xfId="0" applyNumberFormat="1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91" fillId="0" borderId="10" xfId="0" applyNumberFormat="1" applyFont="1" applyBorder="1" applyAlignment="1">
      <alignment vertical="top"/>
    </xf>
    <xf numFmtId="3" fontId="9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justify"/>
    </xf>
    <xf numFmtId="3" fontId="46" fillId="0" borderId="10" xfId="0" applyNumberFormat="1" applyFont="1" applyBorder="1" applyAlignment="1">
      <alignment wrapText="1"/>
    </xf>
    <xf numFmtId="4" fontId="25" fillId="0" borderId="10" xfId="0" applyNumberFormat="1" applyFont="1" applyBorder="1" applyAlignment="1">
      <alignment vertical="top"/>
    </xf>
    <xf numFmtId="0" fontId="93" fillId="0" borderId="20" xfId="0" applyFont="1" applyBorder="1" applyAlignment="1">
      <alignment horizontal="justify" vertical="top" wrapText="1"/>
    </xf>
    <xf numFmtId="49" fontId="93" fillId="0" borderId="10" xfId="0" applyNumberFormat="1" applyFont="1" applyBorder="1" applyAlignment="1">
      <alignment horizontal="center" vertical="top" wrapText="1"/>
    </xf>
    <xf numFmtId="4" fontId="94" fillId="0" borderId="10" xfId="0" applyNumberFormat="1" applyFont="1" applyBorder="1" applyAlignment="1">
      <alignment vertical="top"/>
    </xf>
    <xf numFmtId="0" fontId="0" fillId="0" borderId="0" xfId="0" applyFont="1" applyAlignment="1">
      <alignment wrapText="1"/>
    </xf>
    <xf numFmtId="49" fontId="23" fillId="0" borderId="26" xfId="0" applyNumberFormat="1" applyFont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17" fillId="34" borderId="15" xfId="0" applyNumberFormat="1" applyFont="1" applyFill="1" applyBorder="1" applyAlignment="1" applyProtection="1">
      <alignment horizontal="center" vertical="center"/>
      <protection locked="0"/>
    </xf>
    <xf numFmtId="49" fontId="17" fillId="34" borderId="10" xfId="0" applyNumberFormat="1" applyFont="1" applyFill="1" applyBorder="1" applyAlignment="1" applyProtection="1">
      <alignment horizontal="center" vertical="center"/>
      <protection locked="0"/>
    </xf>
    <xf numFmtId="49" fontId="17" fillId="34" borderId="20" xfId="0" applyNumberFormat="1" applyFont="1" applyFill="1" applyBorder="1" applyAlignment="1" applyProtection="1">
      <alignment horizontal="center" vertical="center"/>
      <protection locked="0"/>
    </xf>
    <xf numFmtId="49" fontId="17" fillId="34" borderId="10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171" fontId="16" fillId="0" borderId="26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3" fontId="9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justify" wrapText="1"/>
    </xf>
    <xf numFmtId="49" fontId="28" fillId="0" borderId="10" xfId="0" applyNumberFormat="1" applyFont="1" applyBorder="1" applyAlignment="1" quotePrefix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 quotePrefix="1">
      <alignment horizontal="center" vertical="top" wrapText="1"/>
    </xf>
    <xf numFmtId="49" fontId="34" fillId="0" borderId="10" xfId="0" applyNumberFormat="1" applyFont="1" applyBorder="1" applyAlignment="1" quotePrefix="1">
      <alignment horizontal="center" vertical="top" wrapText="1"/>
    </xf>
    <xf numFmtId="0" fontId="32" fillId="0" borderId="10" xfId="0" applyFont="1" applyBorder="1" applyAlignment="1">
      <alignment horizontal="justify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wrapText="1"/>
    </xf>
    <xf numFmtId="0" fontId="23" fillId="0" borderId="10" xfId="54" applyNumberFormat="1" applyFont="1" applyFill="1" applyBorder="1" applyAlignment="1" applyProtection="1">
      <alignment horizontal="left" vertical="top" wrapText="1"/>
      <protection hidden="1"/>
    </xf>
    <xf numFmtId="0" fontId="3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2" fillId="0" borderId="10" xfId="0" applyNumberFormat="1" applyFont="1" applyBorder="1" applyAlignment="1">
      <alignment horizontal="center" vertical="top" wrapText="1"/>
    </xf>
    <xf numFmtId="0" fontId="43" fillId="0" borderId="15" xfId="0" applyFont="1" applyBorder="1" applyAlignment="1">
      <alignment horizontal="justify" vertical="top" wrapText="1"/>
    </xf>
    <xf numFmtId="0" fontId="49" fillId="0" borderId="24" xfId="0" applyFont="1" applyBorder="1" applyAlignment="1">
      <alignment vertical="justify" wrapText="1"/>
    </xf>
    <xf numFmtId="0" fontId="27" fillId="0" borderId="35" xfId="0" applyFont="1" applyBorder="1" applyAlignment="1">
      <alignment vertical="top"/>
    </xf>
    <xf numFmtId="178" fontId="22" fillId="0" borderId="24" xfId="53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Border="1" applyAlignment="1">
      <alignment vertical="justify"/>
    </xf>
    <xf numFmtId="49" fontId="28" fillId="0" borderId="12" xfId="0" applyNumberFormat="1" applyFont="1" applyBorder="1" applyAlignment="1">
      <alignment horizontal="center" vertical="top"/>
    </xf>
    <xf numFmtId="4" fontId="32" fillId="0" borderId="36" xfId="0" applyNumberFormat="1" applyFont="1" applyBorder="1" applyAlignment="1">
      <alignment vertical="top"/>
    </xf>
    <xf numFmtId="4" fontId="50" fillId="0" borderId="10" xfId="0" applyNumberFormat="1" applyFont="1" applyBorder="1" applyAlignment="1">
      <alignment vertical="top"/>
    </xf>
    <xf numFmtId="178" fontId="23" fillId="0" borderId="10" xfId="53" applyNumberFormat="1" applyFont="1" applyFill="1" applyBorder="1" applyAlignment="1" applyProtection="1">
      <alignment horizontal="right" vertical="center"/>
      <protection hidden="1"/>
    </xf>
    <xf numFmtId="3" fontId="23" fillId="0" borderId="10" xfId="0" applyNumberFormat="1" applyFont="1" applyBorder="1" applyAlignment="1">
      <alignment vertical="top"/>
    </xf>
    <xf numFmtId="3" fontId="50" fillId="0" borderId="10" xfId="0" applyNumberFormat="1" applyFont="1" applyBorder="1" applyAlignment="1">
      <alignment vertical="top"/>
    </xf>
    <xf numFmtId="171" fontId="23" fillId="0" borderId="10" xfId="0" applyNumberFormat="1" applyFont="1" applyBorder="1" applyAlignment="1">
      <alignment vertical="top"/>
    </xf>
    <xf numFmtId="174" fontId="50" fillId="0" borderId="10" xfId="0" applyNumberFormat="1" applyFont="1" applyBorder="1" applyAlignment="1">
      <alignment vertical="top"/>
    </xf>
    <xf numFmtId="4" fontId="16" fillId="0" borderId="16" xfId="0" applyNumberFormat="1" applyFont="1" applyFill="1" applyBorder="1" applyAlignment="1">
      <alignment horizontal="center" vertical="center" wrapText="1"/>
    </xf>
    <xf numFmtId="49" fontId="97" fillId="0" borderId="10" xfId="0" applyNumberFormat="1" applyFont="1" applyFill="1" applyBorder="1" applyAlignment="1">
      <alignment horizontal="left" vertical="center" wrapText="1"/>
    </xf>
    <xf numFmtId="49" fontId="97" fillId="0" borderId="15" xfId="0" applyNumberFormat="1" applyFont="1" applyFill="1" applyBorder="1" applyAlignment="1" applyProtection="1">
      <alignment horizontal="center" vertical="top"/>
      <protection/>
    </xf>
    <xf numFmtId="49" fontId="97" fillId="0" borderId="10" xfId="0" applyNumberFormat="1" applyFont="1" applyBorder="1" applyAlignment="1" applyProtection="1">
      <alignment horizontal="center" vertical="top"/>
      <protection locked="0"/>
    </xf>
    <xf numFmtId="49" fontId="97" fillId="0" borderId="20" xfId="0" applyNumberFormat="1" applyFont="1" applyBorder="1" applyAlignment="1" applyProtection="1">
      <alignment horizontal="center" vertical="top"/>
      <protection locked="0"/>
    </xf>
    <xf numFmtId="4" fontId="97" fillId="0" borderId="10" xfId="0" applyNumberFormat="1" applyFont="1" applyBorder="1" applyAlignment="1">
      <alignment vertical="top"/>
    </xf>
    <xf numFmtId="0" fontId="8" fillId="0" borderId="11" xfId="0" applyFont="1" applyBorder="1" applyAlignment="1">
      <alignment wrapText="1"/>
    </xf>
    <xf numFmtId="49" fontId="2" fillId="0" borderId="37" xfId="0" applyNumberFormat="1" applyFont="1" applyFill="1" applyBorder="1" applyAlignment="1">
      <alignment horizontal="center" vertical="top"/>
    </xf>
    <xf numFmtId="0" fontId="52" fillId="0" borderId="11" xfId="0" applyFont="1" applyBorder="1" applyAlignment="1">
      <alignment horizontal="left" vertical="top" wrapText="1"/>
    </xf>
    <xf numFmtId="49" fontId="11" fillId="0" borderId="37" xfId="0" applyNumberFormat="1" applyFont="1" applyFill="1" applyBorder="1" applyAlignment="1">
      <alignment horizontal="center" vertical="top"/>
    </xf>
    <xf numFmtId="0" fontId="97" fillId="0" borderId="11" xfId="0" applyFont="1" applyBorder="1" applyAlignment="1">
      <alignment/>
    </xf>
    <xf numFmtId="49" fontId="17" fillId="0" borderId="21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49" fontId="23" fillId="0" borderId="20" xfId="0" applyNumberFormat="1" applyFont="1" applyBorder="1" applyAlignment="1">
      <alignment horizontal="left" vertical="top" wrapText="1"/>
    </xf>
    <xf numFmtId="0" fontId="51" fillId="0" borderId="21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left" vertical="justify" wrapText="1"/>
    </xf>
    <xf numFmtId="0" fontId="0" fillId="0" borderId="10" xfId="0" applyBorder="1" applyAlignment="1">
      <alignment wrapText="1"/>
    </xf>
    <xf numFmtId="49" fontId="50" fillId="0" borderId="10" xfId="0" applyNumberFormat="1" applyFont="1" applyBorder="1" applyAlignment="1">
      <alignment horizontal="center" vertical="justify" wrapText="1"/>
    </xf>
    <xf numFmtId="0" fontId="51" fillId="0" borderId="10" xfId="0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left" vertical="justify" wrapText="1"/>
    </xf>
    <xf numFmtId="0" fontId="51" fillId="0" borderId="10" xfId="0" applyFont="1" applyBorder="1" applyAlignment="1">
      <alignment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textRotation="90" wrapText="1"/>
    </xf>
    <xf numFmtId="3" fontId="24" fillId="0" borderId="26" xfId="0" applyNumberFormat="1" applyFont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justify" wrapText="1"/>
    </xf>
    <xf numFmtId="49" fontId="8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4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49" fontId="8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6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дох" xfId="54"/>
    <cellStyle name="Обычный_Tmp1" xfId="55"/>
    <cellStyle name="Обычный_прил7-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6"/>
  <sheetViews>
    <sheetView zoomScalePageLayoutView="0" workbookViewId="0" topLeftCell="D103">
      <selection activeCell="L118" sqref="L118"/>
    </sheetView>
  </sheetViews>
  <sheetFormatPr defaultColWidth="9.00390625" defaultRowHeight="12.75"/>
  <cols>
    <col min="1" max="1" width="10.875" style="289" customWidth="1"/>
    <col min="2" max="2" width="0.875" style="290" hidden="1" customWidth="1"/>
    <col min="3" max="3" width="90.00390625" style="289" customWidth="1"/>
    <col min="4" max="4" width="6.375" style="291" customWidth="1"/>
    <col min="5" max="5" width="5.125" style="291" customWidth="1"/>
    <col min="6" max="6" width="5.875" style="291" customWidth="1"/>
    <col min="7" max="7" width="5.125" style="291" customWidth="1"/>
    <col min="8" max="8" width="7.75390625" style="291" customWidth="1"/>
    <col min="9" max="9" width="9.375" style="291" customWidth="1"/>
    <col min="10" max="10" width="10.875" style="291" customWidth="1"/>
    <col min="11" max="11" width="8.25390625" style="291" customWidth="1"/>
    <col min="12" max="12" width="20.625" style="292" customWidth="1"/>
    <col min="13" max="14" width="0.12890625" style="292" hidden="1" customWidth="1"/>
    <col min="15" max="16" width="0.2421875" style="292" hidden="1" customWidth="1"/>
    <col min="17" max="17" width="13.125" style="292" hidden="1" customWidth="1"/>
    <col min="18" max="18" width="0.12890625" style="292" hidden="1" customWidth="1"/>
    <col min="19" max="19" width="7.375" style="292" hidden="1" customWidth="1"/>
    <col min="20" max="20" width="18.375" style="289" customWidth="1"/>
    <col min="21" max="21" width="7.00390625" style="289" customWidth="1"/>
    <col min="22" max="16384" width="9.125" style="289" customWidth="1"/>
  </cols>
  <sheetData>
    <row r="1" spans="4:15" ht="15.75">
      <c r="D1" s="539" t="s">
        <v>560</v>
      </c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</row>
    <row r="2" spans="3:15" ht="20.25" customHeight="1">
      <c r="C2" s="414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</row>
    <row r="3" spans="8:12" ht="15.75">
      <c r="H3"/>
      <c r="I3"/>
      <c r="J3"/>
      <c r="K3"/>
      <c r="L3"/>
    </row>
    <row r="4" spans="1:19" ht="16.5" customHeight="1">
      <c r="A4" s="531" t="s">
        <v>235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</row>
    <row r="5" spans="1:19" ht="16.5" customHeight="1">
      <c r="A5" s="293"/>
      <c r="B5" s="294"/>
      <c r="C5" s="293"/>
      <c r="D5" s="295"/>
      <c r="E5" s="295"/>
      <c r="F5" s="295"/>
      <c r="G5" s="295"/>
      <c r="H5" s="295"/>
      <c r="I5" s="295"/>
      <c r="J5" s="295"/>
      <c r="K5" s="295"/>
      <c r="L5" s="296" t="s">
        <v>108</v>
      </c>
      <c r="M5" s="296"/>
      <c r="N5" s="296"/>
      <c r="O5" s="296"/>
      <c r="P5" s="296"/>
      <c r="Q5" s="296"/>
      <c r="R5" s="296"/>
      <c r="S5" s="296" t="s">
        <v>236</v>
      </c>
    </row>
    <row r="6" spans="1:21" s="298" customFormat="1" ht="42.75" customHeight="1">
      <c r="A6" s="532" t="s">
        <v>237</v>
      </c>
      <c r="B6" s="297"/>
      <c r="C6" s="534" t="s">
        <v>238</v>
      </c>
      <c r="D6" s="536" t="s">
        <v>239</v>
      </c>
      <c r="E6" s="537"/>
      <c r="F6" s="537"/>
      <c r="G6" s="537"/>
      <c r="H6" s="537"/>
      <c r="I6" s="537"/>
      <c r="J6" s="537"/>
      <c r="K6" s="538"/>
      <c r="L6" s="527" t="s">
        <v>240</v>
      </c>
      <c r="M6" s="527" t="s">
        <v>241</v>
      </c>
      <c r="N6" s="527" t="s">
        <v>242</v>
      </c>
      <c r="O6" s="527" t="s">
        <v>243</v>
      </c>
      <c r="P6" s="527" t="s">
        <v>244</v>
      </c>
      <c r="Q6" s="527" t="s">
        <v>245</v>
      </c>
      <c r="R6" s="527"/>
      <c r="S6" s="527" t="s">
        <v>246</v>
      </c>
      <c r="T6" s="527" t="s">
        <v>543</v>
      </c>
      <c r="U6" s="529" t="s">
        <v>518</v>
      </c>
    </row>
    <row r="7" spans="1:21" s="298" customFormat="1" ht="110.25">
      <c r="A7" s="533"/>
      <c r="B7" s="299"/>
      <c r="C7" s="535"/>
      <c r="D7" s="300" t="s">
        <v>247</v>
      </c>
      <c r="E7" s="300" t="s">
        <v>248</v>
      </c>
      <c r="F7" s="300" t="s">
        <v>249</v>
      </c>
      <c r="G7" s="300" t="s">
        <v>250</v>
      </c>
      <c r="H7" s="300" t="s">
        <v>251</v>
      </c>
      <c r="I7" s="300" t="s">
        <v>252</v>
      </c>
      <c r="J7" s="300" t="s">
        <v>253</v>
      </c>
      <c r="K7" s="300" t="s">
        <v>254</v>
      </c>
      <c r="L7" s="528"/>
      <c r="M7" s="528"/>
      <c r="N7" s="528"/>
      <c r="O7" s="528"/>
      <c r="P7" s="528"/>
      <c r="Q7" s="528"/>
      <c r="R7" s="528"/>
      <c r="S7" s="528"/>
      <c r="T7" s="528"/>
      <c r="U7" s="530"/>
    </row>
    <row r="8" spans="1:21" s="305" customFormat="1" ht="18.75" customHeight="1">
      <c r="A8" s="301" t="s">
        <v>255</v>
      </c>
      <c r="B8" s="301"/>
      <c r="C8" s="476" t="s">
        <v>256</v>
      </c>
      <c r="D8" s="477" t="s">
        <v>257</v>
      </c>
      <c r="E8" s="477">
        <v>1</v>
      </c>
      <c r="F8" s="477" t="s">
        <v>33</v>
      </c>
      <c r="G8" s="478" t="s">
        <v>33</v>
      </c>
      <c r="H8" s="478" t="s">
        <v>257</v>
      </c>
      <c r="I8" s="478" t="s">
        <v>33</v>
      </c>
      <c r="J8" s="478" t="s">
        <v>258</v>
      </c>
      <c r="K8" s="478" t="s">
        <v>257</v>
      </c>
      <c r="L8" s="302">
        <f>L9+L15+L26+L32+L35+L42+L48+L51+L58+L72</f>
        <v>144705660.9</v>
      </c>
      <c r="M8" s="303" t="e">
        <f>M9+M15+#REF!+M22+#REF!+M34+M40+M48+M45+M54+#REF!+M66</f>
        <v>#REF!</v>
      </c>
      <c r="N8" s="303" t="e">
        <f>N9+N15+#REF!+N22+#REF!+N34+N40+N48+N45+N54+#REF!+N66</f>
        <v>#REF!</v>
      </c>
      <c r="O8" s="303" t="e">
        <f>O9+O15+#REF!+O22+#REF!+O34+O40+O45+O54+#REF!</f>
        <v>#REF!</v>
      </c>
      <c r="P8" s="303" t="e">
        <f>P9+P15+#REF!+P22+#REF!+P34+P40+P48+P45+P54+#REF!+P66</f>
        <v>#REF!</v>
      </c>
      <c r="Q8" s="303" t="e">
        <f>Q9+Q15+#REF!+Q22+#REF!+Q34+Q40+Q48+Q45+Q54+#REF!+Q66</f>
        <v>#REF!</v>
      </c>
      <c r="R8" s="303" t="e">
        <f>R9+R15+#REF!+R22+#REF!+R34+R40+R48+R45+R54+#REF!+R66</f>
        <v>#REF!</v>
      </c>
      <c r="S8" s="304" t="e">
        <f>#REF!=SUM(L8:R8)</f>
        <v>#REF!</v>
      </c>
      <c r="T8" s="302">
        <f>T9+T15+T24+T26+T32+T35+T42+T48+T51+T58+T72</f>
        <v>145980989.89</v>
      </c>
      <c r="U8" s="436">
        <f>T8/L8*100</f>
        <v>100.88132626054022</v>
      </c>
    </row>
    <row r="9" spans="1:21" s="310" customFormat="1" ht="18.75" customHeight="1">
      <c r="A9" s="306" t="s">
        <v>259</v>
      </c>
      <c r="B9" s="306"/>
      <c r="C9" s="340" t="s">
        <v>260</v>
      </c>
      <c r="D9" s="479" t="s">
        <v>257</v>
      </c>
      <c r="E9" s="479">
        <v>1</v>
      </c>
      <c r="F9" s="479" t="s">
        <v>8</v>
      </c>
      <c r="G9" s="341" t="s">
        <v>33</v>
      </c>
      <c r="H9" s="341" t="s">
        <v>257</v>
      </c>
      <c r="I9" s="341" t="s">
        <v>33</v>
      </c>
      <c r="J9" s="341" t="s">
        <v>258</v>
      </c>
      <c r="K9" s="341" t="s">
        <v>257</v>
      </c>
      <c r="L9" s="307">
        <f>L10</f>
        <v>107465000</v>
      </c>
      <c r="M9" s="308" t="e">
        <f aca="true" t="shared" si="0" ref="M9:R9">M10</f>
        <v>#REF!</v>
      </c>
      <c r="N9" s="308" t="e">
        <f t="shared" si="0"/>
        <v>#REF!</v>
      </c>
      <c r="O9" s="308" t="e">
        <f t="shared" si="0"/>
        <v>#REF!</v>
      </c>
      <c r="P9" s="308" t="e">
        <f t="shared" si="0"/>
        <v>#REF!</v>
      </c>
      <c r="Q9" s="308" t="e">
        <f t="shared" si="0"/>
        <v>#REF!</v>
      </c>
      <c r="R9" s="309" t="e">
        <f t="shared" si="0"/>
        <v>#REF!</v>
      </c>
      <c r="S9" s="309" t="e">
        <f>#REF!=SUM(L9:R9)</f>
        <v>#REF!</v>
      </c>
      <c r="T9" s="307">
        <f>T10</f>
        <v>111488124.49</v>
      </c>
      <c r="U9" s="436">
        <f aca="true" t="shared" si="1" ref="U9:U78">T9/L9*100</f>
        <v>103.74366025217512</v>
      </c>
    </row>
    <row r="10" spans="1:21" s="316" customFormat="1" ht="19.5" customHeight="1">
      <c r="A10" s="311" t="s">
        <v>261</v>
      </c>
      <c r="B10" s="311"/>
      <c r="C10" s="397" t="s">
        <v>262</v>
      </c>
      <c r="D10" s="331" t="s">
        <v>257</v>
      </c>
      <c r="E10" s="339">
        <v>1</v>
      </c>
      <c r="F10" s="339" t="s">
        <v>8</v>
      </c>
      <c r="G10" s="331" t="s">
        <v>16</v>
      </c>
      <c r="H10" s="331" t="s">
        <v>257</v>
      </c>
      <c r="I10" s="331" t="s">
        <v>8</v>
      </c>
      <c r="J10" s="331" t="s">
        <v>258</v>
      </c>
      <c r="K10" s="331" t="s">
        <v>158</v>
      </c>
      <c r="L10" s="313">
        <f>L11+L12+L13+L14</f>
        <v>107465000</v>
      </c>
      <c r="M10" s="314" t="e">
        <f>#REF!+M12+#REF!+#REF!</f>
        <v>#REF!</v>
      </c>
      <c r="N10" s="314" t="e">
        <f>#REF!+N12+#REF!+#REF!</f>
        <v>#REF!</v>
      </c>
      <c r="O10" s="314" t="e">
        <f>#REF!+O12+#REF!+#REF!</f>
        <v>#REF!</v>
      </c>
      <c r="P10" s="314" t="e">
        <f>#REF!+P12+#REF!+#REF!</f>
        <v>#REF!</v>
      </c>
      <c r="Q10" s="314" t="e">
        <f>#REF!+Q12+#REF!+#REF!</f>
        <v>#REF!</v>
      </c>
      <c r="R10" s="315" t="e">
        <f>#REF!+R12+#REF!+#REF!</f>
        <v>#REF!</v>
      </c>
      <c r="S10" s="315" t="e">
        <f>#REF!=SUM(L10:R10)</f>
        <v>#REF!</v>
      </c>
      <c r="T10" s="313">
        <f>T11+T12+T13+T14</f>
        <v>111488124.49</v>
      </c>
      <c r="U10" s="436">
        <f t="shared" si="1"/>
        <v>103.74366025217512</v>
      </c>
    </row>
    <row r="11" spans="1:21" s="316" customFormat="1" ht="64.5" customHeight="1">
      <c r="A11" s="317" t="s">
        <v>263</v>
      </c>
      <c r="B11" s="311"/>
      <c r="C11" s="318" t="s">
        <v>264</v>
      </c>
      <c r="D11" s="324" t="s">
        <v>257</v>
      </c>
      <c r="E11" s="324" t="s">
        <v>265</v>
      </c>
      <c r="F11" s="324" t="s">
        <v>8</v>
      </c>
      <c r="G11" s="324" t="s">
        <v>16</v>
      </c>
      <c r="H11" s="324" t="s">
        <v>266</v>
      </c>
      <c r="I11" s="324" t="s">
        <v>8</v>
      </c>
      <c r="J11" s="324" t="s">
        <v>258</v>
      </c>
      <c r="K11" s="324" t="s">
        <v>158</v>
      </c>
      <c r="L11" s="319">
        <v>107000000</v>
      </c>
      <c r="M11" s="314"/>
      <c r="N11" s="314"/>
      <c r="O11" s="314"/>
      <c r="P11" s="314"/>
      <c r="Q11" s="314"/>
      <c r="R11" s="315"/>
      <c r="S11" s="315"/>
      <c r="T11" s="319">
        <v>111100291.36</v>
      </c>
      <c r="U11" s="436">
        <f t="shared" si="1"/>
        <v>103.83204800000001</v>
      </c>
    </row>
    <row r="12" spans="1:21" ht="81" customHeight="1">
      <c r="A12" s="317" t="s">
        <v>267</v>
      </c>
      <c r="B12" s="320"/>
      <c r="C12" s="318" t="s">
        <v>268</v>
      </c>
      <c r="D12" s="343" t="s">
        <v>257</v>
      </c>
      <c r="E12" s="480">
        <v>1</v>
      </c>
      <c r="F12" s="480" t="s">
        <v>8</v>
      </c>
      <c r="G12" s="343" t="s">
        <v>16</v>
      </c>
      <c r="H12" s="343" t="s">
        <v>269</v>
      </c>
      <c r="I12" s="343" t="s">
        <v>8</v>
      </c>
      <c r="J12" s="343" t="s">
        <v>258</v>
      </c>
      <c r="K12" s="343" t="s">
        <v>158</v>
      </c>
      <c r="L12" s="319">
        <v>155000</v>
      </c>
      <c r="M12" s="321">
        <f aca="true" t="shared" si="2" ref="M12:R12">SUM(M13:M14)</f>
        <v>10201</v>
      </c>
      <c r="N12" s="321">
        <f t="shared" si="2"/>
        <v>1327</v>
      </c>
      <c r="O12" s="321">
        <f t="shared" si="2"/>
        <v>1996</v>
      </c>
      <c r="P12" s="321">
        <f t="shared" si="2"/>
        <v>1647</v>
      </c>
      <c r="Q12" s="321">
        <f t="shared" si="2"/>
        <v>262</v>
      </c>
      <c r="R12" s="322">
        <f t="shared" si="2"/>
        <v>0</v>
      </c>
      <c r="S12" s="322" t="e">
        <f>#REF!=SUM(L12:R12)</f>
        <v>#REF!</v>
      </c>
      <c r="T12" s="319">
        <v>140250.61</v>
      </c>
      <c r="U12" s="436">
        <f t="shared" si="1"/>
        <v>90.48426451612902</v>
      </c>
    </row>
    <row r="13" spans="1:21" ht="31.5" customHeight="1">
      <c r="A13" s="317" t="s">
        <v>270</v>
      </c>
      <c r="B13" s="320"/>
      <c r="C13" s="318" t="s">
        <v>271</v>
      </c>
      <c r="D13" s="343" t="s">
        <v>257</v>
      </c>
      <c r="E13" s="480">
        <v>1</v>
      </c>
      <c r="F13" s="480" t="s">
        <v>8</v>
      </c>
      <c r="G13" s="343" t="s">
        <v>16</v>
      </c>
      <c r="H13" s="343" t="s">
        <v>272</v>
      </c>
      <c r="I13" s="343" t="s">
        <v>8</v>
      </c>
      <c r="J13" s="343" t="s">
        <v>258</v>
      </c>
      <c r="K13" s="343" t="s">
        <v>158</v>
      </c>
      <c r="L13" s="319">
        <v>250000</v>
      </c>
      <c r="M13" s="321">
        <v>10201</v>
      </c>
      <c r="N13" s="321">
        <v>1327</v>
      </c>
      <c r="O13" s="321">
        <v>1996</v>
      </c>
      <c r="P13" s="321">
        <v>1647</v>
      </c>
      <c r="Q13" s="321">
        <v>262</v>
      </c>
      <c r="R13" s="322">
        <v>0</v>
      </c>
      <c r="S13" s="322" t="e">
        <f>#REF!=SUM(L13:R13)</f>
        <v>#REF!</v>
      </c>
      <c r="T13" s="319">
        <v>199322.52</v>
      </c>
      <c r="U13" s="436">
        <f t="shared" si="1"/>
        <v>79.72900800000001</v>
      </c>
    </row>
    <row r="14" spans="1:21" ht="69" customHeight="1">
      <c r="A14" s="317" t="s">
        <v>273</v>
      </c>
      <c r="B14" s="320"/>
      <c r="C14" s="318" t="s">
        <v>274</v>
      </c>
      <c r="D14" s="343" t="s">
        <v>257</v>
      </c>
      <c r="E14" s="480">
        <v>1</v>
      </c>
      <c r="F14" s="480" t="s">
        <v>8</v>
      </c>
      <c r="G14" s="343" t="s">
        <v>16</v>
      </c>
      <c r="H14" s="343" t="s">
        <v>275</v>
      </c>
      <c r="I14" s="343" t="s">
        <v>8</v>
      </c>
      <c r="J14" s="343" t="s">
        <v>258</v>
      </c>
      <c r="K14" s="343" t="s">
        <v>158</v>
      </c>
      <c r="L14" s="319">
        <v>60000</v>
      </c>
      <c r="M14" s="321"/>
      <c r="N14" s="321"/>
      <c r="O14" s="321"/>
      <c r="P14" s="321"/>
      <c r="Q14" s="321"/>
      <c r="R14" s="322"/>
      <c r="S14" s="322" t="e">
        <f>#REF!=SUM(L14:R14)</f>
        <v>#REF!</v>
      </c>
      <c r="T14" s="319">
        <v>48260</v>
      </c>
      <c r="U14" s="436">
        <f t="shared" si="1"/>
        <v>80.43333333333334</v>
      </c>
    </row>
    <row r="15" spans="1:21" s="316" customFormat="1" ht="18" customHeight="1">
      <c r="A15" s="306" t="s">
        <v>276</v>
      </c>
      <c r="B15" s="306"/>
      <c r="C15" s="340" t="s">
        <v>277</v>
      </c>
      <c r="D15" s="479" t="s">
        <v>257</v>
      </c>
      <c r="E15" s="341" t="s">
        <v>265</v>
      </c>
      <c r="F15" s="341" t="s">
        <v>15</v>
      </c>
      <c r="G15" s="341" t="s">
        <v>33</v>
      </c>
      <c r="H15" s="341" t="s">
        <v>257</v>
      </c>
      <c r="I15" s="341" t="s">
        <v>33</v>
      </c>
      <c r="J15" s="341" t="s">
        <v>258</v>
      </c>
      <c r="K15" s="341" t="s">
        <v>257</v>
      </c>
      <c r="L15" s="307">
        <f>L16+L19+L22</f>
        <v>7722100</v>
      </c>
      <c r="M15" s="308">
        <f aca="true" t="shared" si="3" ref="M15:R15">M16</f>
        <v>0</v>
      </c>
      <c r="N15" s="308">
        <f t="shared" si="3"/>
        <v>0</v>
      </c>
      <c r="O15" s="308">
        <f t="shared" si="3"/>
        <v>0</v>
      </c>
      <c r="P15" s="308">
        <f t="shared" si="3"/>
        <v>0</v>
      </c>
      <c r="Q15" s="308">
        <f t="shared" si="3"/>
        <v>0</v>
      </c>
      <c r="R15" s="309">
        <f t="shared" si="3"/>
        <v>0</v>
      </c>
      <c r="S15" s="309" t="e">
        <f>#REF!=SUM(L15:R15)</f>
        <v>#REF!</v>
      </c>
      <c r="T15" s="307">
        <f>T16+T19+T22</f>
        <v>7389619.97</v>
      </c>
      <c r="U15" s="436">
        <f t="shared" si="1"/>
        <v>95.694435063001</v>
      </c>
    </row>
    <row r="16" spans="1:21" s="316" customFormat="1" ht="18.75" customHeight="1">
      <c r="A16" s="311" t="s">
        <v>278</v>
      </c>
      <c r="B16" s="311"/>
      <c r="C16" s="397" t="s">
        <v>279</v>
      </c>
      <c r="D16" s="331" t="s">
        <v>257</v>
      </c>
      <c r="E16" s="331" t="s">
        <v>265</v>
      </c>
      <c r="F16" s="331" t="s">
        <v>15</v>
      </c>
      <c r="G16" s="331" t="s">
        <v>16</v>
      </c>
      <c r="H16" s="331" t="s">
        <v>257</v>
      </c>
      <c r="I16" s="331" t="s">
        <v>16</v>
      </c>
      <c r="J16" s="331" t="s">
        <v>258</v>
      </c>
      <c r="K16" s="331" t="s">
        <v>158</v>
      </c>
      <c r="L16" s="313">
        <f>L17+L18</f>
        <v>7456000</v>
      </c>
      <c r="M16" s="314"/>
      <c r="N16" s="314"/>
      <c r="O16" s="314"/>
      <c r="P16" s="314"/>
      <c r="Q16" s="314"/>
      <c r="R16" s="315"/>
      <c r="S16" s="315" t="e">
        <f>#REF!=SUM(L16:R16)</f>
        <v>#REF!</v>
      </c>
      <c r="T16" s="313">
        <f>T17+T18</f>
        <v>7127119.45</v>
      </c>
      <c r="U16" s="436">
        <f t="shared" si="1"/>
        <v>95.58904841738197</v>
      </c>
    </row>
    <row r="17" spans="1:21" ht="18.75" customHeight="1">
      <c r="A17" s="311"/>
      <c r="B17" s="311"/>
      <c r="C17" s="323" t="s">
        <v>279</v>
      </c>
      <c r="D17" s="324" t="s">
        <v>257</v>
      </c>
      <c r="E17" s="324" t="s">
        <v>265</v>
      </c>
      <c r="F17" s="324" t="s">
        <v>15</v>
      </c>
      <c r="G17" s="324" t="s">
        <v>16</v>
      </c>
      <c r="H17" s="324" t="s">
        <v>266</v>
      </c>
      <c r="I17" s="324" t="s">
        <v>16</v>
      </c>
      <c r="J17" s="324" t="s">
        <v>258</v>
      </c>
      <c r="K17" s="324" t="s">
        <v>158</v>
      </c>
      <c r="L17" s="319">
        <f>7070000+355000</f>
        <v>7425000</v>
      </c>
      <c r="M17" s="321"/>
      <c r="N17" s="321"/>
      <c r="O17" s="321"/>
      <c r="P17" s="321"/>
      <c r="Q17" s="321"/>
      <c r="R17" s="322"/>
      <c r="S17" s="322" t="e">
        <f>#REF!=SUM(L17:R17)</f>
        <v>#REF!</v>
      </c>
      <c r="T17" s="319">
        <v>7093384.72</v>
      </c>
      <c r="U17" s="436">
        <f t="shared" si="1"/>
        <v>95.53380094276093</v>
      </c>
    </row>
    <row r="18" spans="1:21" ht="30" customHeight="1">
      <c r="A18" s="311"/>
      <c r="B18" s="311"/>
      <c r="C18" s="323" t="s">
        <v>280</v>
      </c>
      <c r="D18" s="324" t="s">
        <v>257</v>
      </c>
      <c r="E18" s="324" t="s">
        <v>265</v>
      </c>
      <c r="F18" s="324" t="s">
        <v>15</v>
      </c>
      <c r="G18" s="324" t="s">
        <v>16</v>
      </c>
      <c r="H18" s="324" t="s">
        <v>269</v>
      </c>
      <c r="I18" s="324" t="s">
        <v>16</v>
      </c>
      <c r="J18" s="324" t="s">
        <v>258</v>
      </c>
      <c r="K18" s="324" t="s">
        <v>158</v>
      </c>
      <c r="L18" s="319">
        <v>31000</v>
      </c>
      <c r="M18" s="321"/>
      <c r="N18" s="321"/>
      <c r="O18" s="321"/>
      <c r="P18" s="321"/>
      <c r="Q18" s="321"/>
      <c r="R18" s="322"/>
      <c r="S18" s="322"/>
      <c r="T18" s="319">
        <v>33734.73</v>
      </c>
      <c r="U18" s="436">
        <f t="shared" si="1"/>
        <v>108.82170967741938</v>
      </c>
    </row>
    <row r="19" spans="1:21" ht="24.75" customHeight="1">
      <c r="A19" s="311" t="s">
        <v>281</v>
      </c>
      <c r="B19" s="311"/>
      <c r="C19" s="397" t="s">
        <v>282</v>
      </c>
      <c r="D19" s="331" t="s">
        <v>257</v>
      </c>
      <c r="E19" s="331" t="s">
        <v>265</v>
      </c>
      <c r="F19" s="331" t="s">
        <v>15</v>
      </c>
      <c r="G19" s="331" t="s">
        <v>18</v>
      </c>
      <c r="H19" s="331" t="s">
        <v>257</v>
      </c>
      <c r="I19" s="331" t="s">
        <v>8</v>
      </c>
      <c r="J19" s="331" t="s">
        <v>258</v>
      </c>
      <c r="K19" s="331" t="s">
        <v>158</v>
      </c>
      <c r="L19" s="313">
        <f>L20+L21</f>
        <v>6100</v>
      </c>
      <c r="M19" s="314"/>
      <c r="N19" s="314"/>
      <c r="O19" s="314"/>
      <c r="P19" s="314"/>
      <c r="Q19" s="314"/>
      <c r="R19" s="315"/>
      <c r="S19" s="315"/>
      <c r="T19" s="313">
        <f>T20+T21</f>
        <v>6770.52</v>
      </c>
      <c r="U19" s="436">
        <f t="shared" si="1"/>
        <v>110.99213114754099</v>
      </c>
    </row>
    <row r="20" spans="1:21" ht="37.5" customHeight="1">
      <c r="A20" s="311"/>
      <c r="B20" s="306"/>
      <c r="C20" s="325" t="s">
        <v>283</v>
      </c>
      <c r="D20" s="324" t="s">
        <v>257</v>
      </c>
      <c r="E20" s="324" t="s">
        <v>265</v>
      </c>
      <c r="F20" s="324" t="s">
        <v>15</v>
      </c>
      <c r="G20" s="324" t="s">
        <v>18</v>
      </c>
      <c r="H20" s="324" t="s">
        <v>266</v>
      </c>
      <c r="I20" s="324" t="s">
        <v>8</v>
      </c>
      <c r="J20" s="324" t="s">
        <v>258</v>
      </c>
      <c r="K20" s="324" t="s">
        <v>158</v>
      </c>
      <c r="L20" s="319">
        <v>5800</v>
      </c>
      <c r="M20" s="314"/>
      <c r="N20" s="314"/>
      <c r="O20" s="314"/>
      <c r="P20" s="314"/>
      <c r="Q20" s="314"/>
      <c r="R20" s="315"/>
      <c r="S20" s="315"/>
      <c r="T20" s="319">
        <v>6470.52</v>
      </c>
      <c r="U20" s="436">
        <f t="shared" si="1"/>
        <v>111.56068965517242</v>
      </c>
    </row>
    <row r="21" spans="1:21" ht="33" customHeight="1">
      <c r="A21" s="311"/>
      <c r="B21" s="306"/>
      <c r="C21" s="325" t="s">
        <v>284</v>
      </c>
      <c r="D21" s="324" t="s">
        <v>257</v>
      </c>
      <c r="E21" s="324" t="s">
        <v>265</v>
      </c>
      <c r="F21" s="324" t="s">
        <v>15</v>
      </c>
      <c r="G21" s="324" t="s">
        <v>18</v>
      </c>
      <c r="H21" s="324" t="s">
        <v>269</v>
      </c>
      <c r="I21" s="324" t="s">
        <v>8</v>
      </c>
      <c r="J21" s="324" t="s">
        <v>258</v>
      </c>
      <c r="K21" s="324" t="s">
        <v>158</v>
      </c>
      <c r="L21" s="319">
        <v>300</v>
      </c>
      <c r="M21" s="314"/>
      <c r="N21" s="314"/>
      <c r="O21" s="314"/>
      <c r="P21" s="314"/>
      <c r="Q21" s="314"/>
      <c r="R21" s="315"/>
      <c r="S21" s="315"/>
      <c r="T21" s="319">
        <v>300</v>
      </c>
      <c r="U21" s="436">
        <f t="shared" si="1"/>
        <v>100</v>
      </c>
    </row>
    <row r="22" spans="1:21" s="316" customFormat="1" ht="32.25" customHeight="1">
      <c r="A22" s="311" t="s">
        <v>285</v>
      </c>
      <c r="B22" s="311"/>
      <c r="C22" s="397" t="s">
        <v>286</v>
      </c>
      <c r="D22" s="331" t="s">
        <v>257</v>
      </c>
      <c r="E22" s="331" t="s">
        <v>265</v>
      </c>
      <c r="F22" s="331" t="s">
        <v>15</v>
      </c>
      <c r="G22" s="331" t="s">
        <v>19</v>
      </c>
      <c r="H22" s="331" t="s">
        <v>257</v>
      </c>
      <c r="I22" s="331" t="s">
        <v>16</v>
      </c>
      <c r="J22" s="331" t="s">
        <v>258</v>
      </c>
      <c r="K22" s="331" t="s">
        <v>158</v>
      </c>
      <c r="L22" s="313">
        <f>L23</f>
        <v>260000</v>
      </c>
      <c r="M22" s="308" t="e">
        <f>M28+#REF!+#REF!</f>
        <v>#REF!</v>
      </c>
      <c r="N22" s="308" t="e">
        <f>N28+#REF!+#REF!</f>
        <v>#REF!</v>
      </c>
      <c r="O22" s="308" t="e">
        <f>O28+#REF!+#REF!</f>
        <v>#REF!</v>
      </c>
      <c r="P22" s="308" t="e">
        <f>P28+#REF!+#REF!</f>
        <v>#REF!</v>
      </c>
      <c r="Q22" s="308" t="e">
        <f>Q28+#REF!+#REF!</f>
        <v>#REF!</v>
      </c>
      <c r="R22" s="309" t="e">
        <f>R28+#REF!+#REF!</f>
        <v>#REF!</v>
      </c>
      <c r="S22" s="309" t="e">
        <f>#REF!=SUM(L22:R22)</f>
        <v>#REF!</v>
      </c>
      <c r="T22" s="313">
        <f>T23</f>
        <v>255730</v>
      </c>
      <c r="U22" s="436">
        <f t="shared" si="1"/>
        <v>98.35769230769232</v>
      </c>
    </row>
    <row r="23" spans="1:21" ht="34.5" customHeight="1">
      <c r="A23" s="311"/>
      <c r="B23" s="326"/>
      <c r="C23" s="325" t="s">
        <v>287</v>
      </c>
      <c r="D23" s="324" t="s">
        <v>257</v>
      </c>
      <c r="E23" s="324" t="s">
        <v>265</v>
      </c>
      <c r="F23" s="324" t="s">
        <v>15</v>
      </c>
      <c r="G23" s="324" t="s">
        <v>19</v>
      </c>
      <c r="H23" s="324" t="s">
        <v>269</v>
      </c>
      <c r="I23" s="324" t="s">
        <v>16</v>
      </c>
      <c r="J23" s="324" t="s">
        <v>258</v>
      </c>
      <c r="K23" s="324" t="s">
        <v>158</v>
      </c>
      <c r="L23" s="327">
        <v>260000</v>
      </c>
      <c r="M23" s="308"/>
      <c r="N23" s="308"/>
      <c r="O23" s="308"/>
      <c r="P23" s="308"/>
      <c r="Q23" s="308"/>
      <c r="R23" s="309"/>
      <c r="S23" s="309"/>
      <c r="T23" s="327">
        <v>255730</v>
      </c>
      <c r="U23" s="436">
        <f t="shared" si="1"/>
        <v>98.35769230769232</v>
      </c>
    </row>
    <row r="24" spans="1:21" ht="19.5" customHeight="1">
      <c r="A24" s="311"/>
      <c r="B24" s="326"/>
      <c r="C24" s="442" t="s">
        <v>521</v>
      </c>
      <c r="D24" s="443" t="s">
        <v>257</v>
      </c>
      <c r="E24" s="443" t="s">
        <v>265</v>
      </c>
      <c r="F24" s="443" t="s">
        <v>9</v>
      </c>
      <c r="G24" s="443" t="s">
        <v>33</v>
      </c>
      <c r="H24" s="443" t="s">
        <v>257</v>
      </c>
      <c r="I24" s="443" t="s">
        <v>33</v>
      </c>
      <c r="J24" s="443" t="s">
        <v>258</v>
      </c>
      <c r="K24" s="443" t="s">
        <v>257</v>
      </c>
      <c r="L24" s="444">
        <f>L25</f>
        <v>0</v>
      </c>
      <c r="M24" s="308"/>
      <c r="N24" s="308"/>
      <c r="O24" s="308"/>
      <c r="P24" s="308"/>
      <c r="Q24" s="308"/>
      <c r="R24" s="309"/>
      <c r="S24" s="309"/>
      <c r="T24" s="444">
        <f>T25</f>
        <v>-250</v>
      </c>
      <c r="U24" s="436" t="e">
        <f t="shared" si="1"/>
        <v>#DIV/0!</v>
      </c>
    </row>
    <row r="25" spans="1:21" ht="43.5" customHeight="1">
      <c r="A25" s="311"/>
      <c r="B25" s="326"/>
      <c r="C25" s="445" t="s">
        <v>522</v>
      </c>
      <c r="D25" s="446" t="s">
        <v>257</v>
      </c>
      <c r="E25" s="446" t="s">
        <v>265</v>
      </c>
      <c r="F25" s="446" t="s">
        <v>9</v>
      </c>
      <c r="G25" s="324" t="s">
        <v>9</v>
      </c>
      <c r="H25" s="324" t="s">
        <v>523</v>
      </c>
      <c r="I25" s="324" t="s">
        <v>15</v>
      </c>
      <c r="J25" s="324" t="s">
        <v>258</v>
      </c>
      <c r="K25" s="324" t="s">
        <v>158</v>
      </c>
      <c r="L25" s="441"/>
      <c r="M25" s="308"/>
      <c r="N25" s="308"/>
      <c r="O25" s="308"/>
      <c r="P25" s="308"/>
      <c r="Q25" s="308"/>
      <c r="R25" s="309"/>
      <c r="S25" s="309"/>
      <c r="T25" s="327">
        <v>-250</v>
      </c>
      <c r="U25" s="436" t="e">
        <f t="shared" si="1"/>
        <v>#DIV/0!</v>
      </c>
    </row>
    <row r="26" spans="1:21" ht="34.5" customHeight="1">
      <c r="A26" s="306" t="s">
        <v>288</v>
      </c>
      <c r="B26" s="326"/>
      <c r="C26" s="340" t="s">
        <v>289</v>
      </c>
      <c r="D26" s="479" t="s">
        <v>257</v>
      </c>
      <c r="E26" s="341" t="s">
        <v>265</v>
      </c>
      <c r="F26" s="341" t="s">
        <v>11</v>
      </c>
      <c r="G26" s="341" t="s">
        <v>33</v>
      </c>
      <c r="H26" s="341" t="s">
        <v>257</v>
      </c>
      <c r="I26" s="341" t="s">
        <v>33</v>
      </c>
      <c r="J26" s="341" t="s">
        <v>258</v>
      </c>
      <c r="K26" s="341" t="s">
        <v>257</v>
      </c>
      <c r="L26" s="307">
        <f>L28+L30</f>
        <v>1910000</v>
      </c>
      <c r="M26" s="308"/>
      <c r="N26" s="308"/>
      <c r="O26" s="308"/>
      <c r="P26" s="308"/>
      <c r="Q26" s="308"/>
      <c r="R26" s="309"/>
      <c r="S26" s="309"/>
      <c r="T26" s="307">
        <f>T28+T30</f>
        <v>1948055.8599999999</v>
      </c>
      <c r="U26" s="436">
        <f t="shared" si="1"/>
        <v>101.99245340314135</v>
      </c>
    </row>
    <row r="27" spans="1:21" ht="49.5" customHeight="1">
      <c r="A27" s="311" t="s">
        <v>290</v>
      </c>
      <c r="B27" s="306"/>
      <c r="C27" s="481" t="s">
        <v>291</v>
      </c>
      <c r="D27" s="482" t="s">
        <v>257</v>
      </c>
      <c r="E27" s="482" t="s">
        <v>265</v>
      </c>
      <c r="F27" s="482" t="s">
        <v>11</v>
      </c>
      <c r="G27" s="482" t="s">
        <v>18</v>
      </c>
      <c r="H27" s="482" t="s">
        <v>257</v>
      </c>
      <c r="I27" s="482" t="s">
        <v>8</v>
      </c>
      <c r="J27" s="482" t="s">
        <v>258</v>
      </c>
      <c r="K27" s="482" t="s">
        <v>257</v>
      </c>
      <c r="L27" s="313">
        <f>L28</f>
        <v>1100000</v>
      </c>
      <c r="M27" s="308"/>
      <c r="N27" s="308"/>
      <c r="O27" s="308"/>
      <c r="P27" s="308"/>
      <c r="Q27" s="308"/>
      <c r="R27" s="309"/>
      <c r="S27" s="309"/>
      <c r="T27" s="313">
        <f>T28</f>
        <v>1142009.24</v>
      </c>
      <c r="U27" s="436">
        <f t="shared" si="1"/>
        <v>103.81902181818181</v>
      </c>
    </row>
    <row r="28" spans="1:21" ht="21.75" customHeight="1">
      <c r="A28" s="317" t="s">
        <v>292</v>
      </c>
      <c r="B28" s="311"/>
      <c r="C28" s="328" t="s">
        <v>293</v>
      </c>
      <c r="D28" s="343" t="s">
        <v>257</v>
      </c>
      <c r="E28" s="343" t="s">
        <v>265</v>
      </c>
      <c r="F28" s="343" t="s">
        <v>11</v>
      </c>
      <c r="G28" s="343" t="s">
        <v>18</v>
      </c>
      <c r="H28" s="343" t="s">
        <v>266</v>
      </c>
      <c r="I28" s="343" t="s">
        <v>8</v>
      </c>
      <c r="J28" s="343" t="s">
        <v>258</v>
      </c>
      <c r="K28" s="343" t="s">
        <v>158</v>
      </c>
      <c r="L28" s="319">
        <v>1100000</v>
      </c>
      <c r="M28" s="321"/>
      <c r="N28" s="321"/>
      <c r="O28" s="321"/>
      <c r="P28" s="321"/>
      <c r="Q28" s="321"/>
      <c r="R28" s="322"/>
      <c r="S28" s="322" t="e">
        <f>#REF!=SUM(L28:R28)</f>
        <v>#REF!</v>
      </c>
      <c r="T28" s="319">
        <v>1142009.24</v>
      </c>
      <c r="U28" s="436">
        <f t="shared" si="1"/>
        <v>103.81902181818181</v>
      </c>
    </row>
    <row r="29" spans="1:21" ht="50.25" customHeight="1">
      <c r="A29" s="320"/>
      <c r="B29" s="320"/>
      <c r="C29" s="329" t="s">
        <v>294</v>
      </c>
      <c r="D29" s="343" t="s">
        <v>257</v>
      </c>
      <c r="E29" s="343" t="s">
        <v>265</v>
      </c>
      <c r="F29" s="343" t="s">
        <v>11</v>
      </c>
      <c r="G29" s="343" t="s">
        <v>19</v>
      </c>
      <c r="H29" s="343" t="s">
        <v>257</v>
      </c>
      <c r="I29" s="343" t="s">
        <v>8</v>
      </c>
      <c r="J29" s="343" t="s">
        <v>258</v>
      </c>
      <c r="K29" s="343" t="s">
        <v>158</v>
      </c>
      <c r="L29" s="319"/>
      <c r="M29" s="321"/>
      <c r="N29" s="321"/>
      <c r="O29" s="321"/>
      <c r="P29" s="321"/>
      <c r="Q29" s="321"/>
      <c r="R29" s="322"/>
      <c r="S29" s="322"/>
      <c r="T29" s="319"/>
      <c r="U29" s="436" t="e">
        <f t="shared" si="1"/>
        <v>#DIV/0!</v>
      </c>
    </row>
    <row r="30" spans="1:21" ht="40.5" customHeight="1">
      <c r="A30" s="330" t="s">
        <v>295</v>
      </c>
      <c r="B30" s="320"/>
      <c r="C30" s="483" t="s">
        <v>296</v>
      </c>
      <c r="D30" s="331" t="s">
        <v>257</v>
      </c>
      <c r="E30" s="331" t="s">
        <v>265</v>
      </c>
      <c r="F30" s="331" t="s">
        <v>11</v>
      </c>
      <c r="G30" s="331" t="s">
        <v>10</v>
      </c>
      <c r="H30" s="331" t="s">
        <v>257</v>
      </c>
      <c r="I30" s="331" t="s">
        <v>8</v>
      </c>
      <c r="J30" s="331" t="s">
        <v>258</v>
      </c>
      <c r="K30" s="331" t="s">
        <v>257</v>
      </c>
      <c r="L30" s="313">
        <f>L31</f>
        <v>810000</v>
      </c>
      <c r="M30" s="321"/>
      <c r="N30" s="321"/>
      <c r="O30" s="321"/>
      <c r="P30" s="321"/>
      <c r="Q30" s="321"/>
      <c r="R30" s="322"/>
      <c r="S30" s="322"/>
      <c r="T30" s="313">
        <f>T31</f>
        <v>806046.62</v>
      </c>
      <c r="U30" s="436">
        <f t="shared" si="1"/>
        <v>99.51192839506173</v>
      </c>
    </row>
    <row r="31" spans="1:21" s="316" customFormat="1" ht="39" customHeight="1">
      <c r="A31" s="332" t="s">
        <v>297</v>
      </c>
      <c r="B31" s="306"/>
      <c r="C31" s="328" t="s">
        <v>298</v>
      </c>
      <c r="D31" s="324" t="s">
        <v>257</v>
      </c>
      <c r="E31" s="324" t="s">
        <v>265</v>
      </c>
      <c r="F31" s="324" t="s">
        <v>11</v>
      </c>
      <c r="G31" s="324" t="s">
        <v>10</v>
      </c>
      <c r="H31" s="324" t="s">
        <v>299</v>
      </c>
      <c r="I31" s="324" t="s">
        <v>8</v>
      </c>
      <c r="J31" s="324" t="s">
        <v>258</v>
      </c>
      <c r="K31" s="324" t="s">
        <v>158</v>
      </c>
      <c r="L31" s="319">
        <v>810000</v>
      </c>
      <c r="M31" s="321"/>
      <c r="N31" s="321"/>
      <c r="O31" s="321"/>
      <c r="P31" s="321"/>
      <c r="Q31" s="321"/>
      <c r="R31" s="322"/>
      <c r="S31" s="322"/>
      <c r="T31" s="319">
        <v>806046.62</v>
      </c>
      <c r="U31" s="436">
        <f t="shared" si="1"/>
        <v>99.51192839506173</v>
      </c>
    </row>
    <row r="32" spans="1:21" s="316" customFormat="1" ht="43.5" customHeight="1">
      <c r="A32" s="333" t="s">
        <v>300</v>
      </c>
      <c r="B32" s="311"/>
      <c r="C32" s="340" t="s">
        <v>303</v>
      </c>
      <c r="D32" s="341" t="s">
        <v>257</v>
      </c>
      <c r="E32" s="341" t="s">
        <v>265</v>
      </c>
      <c r="F32" s="341" t="s">
        <v>12</v>
      </c>
      <c r="G32" s="341" t="s">
        <v>33</v>
      </c>
      <c r="H32" s="341" t="s">
        <v>257</v>
      </c>
      <c r="I32" s="341" t="s">
        <v>33</v>
      </c>
      <c r="J32" s="341" t="s">
        <v>258</v>
      </c>
      <c r="K32" s="341" t="s">
        <v>257</v>
      </c>
      <c r="L32" s="307">
        <f>SUM(L33:L34)</f>
        <v>0</v>
      </c>
      <c r="M32" s="321"/>
      <c r="N32" s="321"/>
      <c r="O32" s="321"/>
      <c r="P32" s="321"/>
      <c r="Q32" s="321"/>
      <c r="R32" s="322"/>
      <c r="S32" s="322"/>
      <c r="T32" s="307">
        <f>SUM(T33:T34)</f>
        <v>0</v>
      </c>
      <c r="U32" s="436" t="e">
        <f t="shared" si="1"/>
        <v>#DIV/0!</v>
      </c>
    </row>
    <row r="33" spans="1:21" ht="49.5" customHeight="1">
      <c r="A33" s="334" t="s">
        <v>302</v>
      </c>
      <c r="B33" s="311"/>
      <c r="C33" s="318" t="s">
        <v>305</v>
      </c>
      <c r="D33" s="324" t="s">
        <v>257</v>
      </c>
      <c r="E33" s="324" t="s">
        <v>265</v>
      </c>
      <c r="F33" s="324" t="s">
        <v>12</v>
      </c>
      <c r="G33" s="324" t="s">
        <v>8</v>
      </c>
      <c r="H33" s="324" t="s">
        <v>272</v>
      </c>
      <c r="I33" s="324" t="s">
        <v>15</v>
      </c>
      <c r="J33" s="324" t="s">
        <v>258</v>
      </c>
      <c r="K33" s="324" t="s">
        <v>158</v>
      </c>
      <c r="L33" s="319">
        <v>0</v>
      </c>
      <c r="M33" s="321"/>
      <c r="N33" s="321"/>
      <c r="O33" s="321"/>
      <c r="P33" s="321"/>
      <c r="Q33" s="321"/>
      <c r="R33" s="322"/>
      <c r="S33" s="322"/>
      <c r="T33" s="319">
        <v>0</v>
      </c>
      <c r="U33" s="436" t="e">
        <f t="shared" si="1"/>
        <v>#DIV/0!</v>
      </c>
    </row>
    <row r="34" spans="1:21" ht="21.75" customHeight="1" hidden="1">
      <c r="A34" s="332" t="s">
        <v>304</v>
      </c>
      <c r="B34" s="320"/>
      <c r="C34" s="318" t="s">
        <v>307</v>
      </c>
      <c r="D34" s="324" t="s">
        <v>257</v>
      </c>
      <c r="E34" s="324" t="s">
        <v>265</v>
      </c>
      <c r="F34" s="324" t="s">
        <v>12</v>
      </c>
      <c r="G34" s="324" t="s">
        <v>10</v>
      </c>
      <c r="H34" s="324" t="s">
        <v>308</v>
      </c>
      <c r="I34" s="324" t="s">
        <v>15</v>
      </c>
      <c r="J34" s="324" t="s">
        <v>258</v>
      </c>
      <c r="K34" s="324" t="s">
        <v>158</v>
      </c>
      <c r="L34" s="319">
        <v>0</v>
      </c>
      <c r="M34" s="308" t="e">
        <f aca="true" t="shared" si="4" ref="M34:R34">M35</f>
        <v>#REF!</v>
      </c>
      <c r="N34" s="308" t="e">
        <f t="shared" si="4"/>
        <v>#REF!</v>
      </c>
      <c r="O34" s="308" t="e">
        <f t="shared" si="4"/>
        <v>#REF!</v>
      </c>
      <c r="P34" s="308" t="e">
        <f t="shared" si="4"/>
        <v>#REF!</v>
      </c>
      <c r="Q34" s="308" t="e">
        <f t="shared" si="4"/>
        <v>#REF!</v>
      </c>
      <c r="R34" s="308" t="e">
        <f t="shared" si="4"/>
        <v>#REF!</v>
      </c>
      <c r="S34" s="309" t="e">
        <f>#REF!=SUM(L34:R34)</f>
        <v>#REF!</v>
      </c>
      <c r="T34" s="319">
        <v>0</v>
      </c>
      <c r="U34" s="436" t="e">
        <f t="shared" si="1"/>
        <v>#DIV/0!</v>
      </c>
    </row>
    <row r="35" spans="1:21" ht="39" customHeight="1">
      <c r="A35" s="332" t="s">
        <v>306</v>
      </c>
      <c r="B35" s="306"/>
      <c r="C35" s="340" t="s">
        <v>310</v>
      </c>
      <c r="D35" s="479" t="s">
        <v>257</v>
      </c>
      <c r="E35" s="341" t="s">
        <v>265</v>
      </c>
      <c r="F35" s="341" t="s">
        <v>60</v>
      </c>
      <c r="G35" s="341" t="s">
        <v>33</v>
      </c>
      <c r="H35" s="341" t="s">
        <v>257</v>
      </c>
      <c r="I35" s="341" t="s">
        <v>33</v>
      </c>
      <c r="J35" s="341" t="s">
        <v>258</v>
      </c>
      <c r="K35" s="341" t="s">
        <v>257</v>
      </c>
      <c r="L35" s="307">
        <f>L37+L36</f>
        <v>7978000</v>
      </c>
      <c r="M35" s="314" t="e">
        <f>M36+#REF!</f>
        <v>#REF!</v>
      </c>
      <c r="N35" s="314" t="e">
        <f>N36+#REF!</f>
        <v>#REF!</v>
      </c>
      <c r="O35" s="314" t="e">
        <f>O36+#REF!</f>
        <v>#REF!</v>
      </c>
      <c r="P35" s="314" t="e">
        <f>P36+#REF!</f>
        <v>#REF!</v>
      </c>
      <c r="Q35" s="314" t="e">
        <f>Q36+#REF!</f>
        <v>#REF!</v>
      </c>
      <c r="R35" s="315" t="e">
        <f>R36+#REF!</f>
        <v>#REF!</v>
      </c>
      <c r="S35" s="315" t="e">
        <f>#REF!=SUM(L35:R35)</f>
        <v>#REF!</v>
      </c>
      <c r="T35" s="307">
        <f>T37+T36</f>
        <v>7213301.1899999995</v>
      </c>
      <c r="U35" s="436">
        <f t="shared" si="1"/>
        <v>90.41490586613186</v>
      </c>
    </row>
    <row r="36" spans="1:21" ht="38.25" customHeight="1">
      <c r="A36" s="306" t="s">
        <v>309</v>
      </c>
      <c r="B36" s="311"/>
      <c r="C36" s="335" t="s">
        <v>311</v>
      </c>
      <c r="D36" s="336" t="s">
        <v>257</v>
      </c>
      <c r="E36" s="336" t="s">
        <v>265</v>
      </c>
      <c r="F36" s="336" t="s">
        <v>60</v>
      </c>
      <c r="G36" s="336" t="s">
        <v>18</v>
      </c>
      <c r="H36" s="336" t="s">
        <v>312</v>
      </c>
      <c r="I36" s="336" t="s">
        <v>15</v>
      </c>
      <c r="J36" s="336" t="s">
        <v>258</v>
      </c>
      <c r="K36" s="336" t="s">
        <v>313</v>
      </c>
      <c r="L36" s="313">
        <v>600000</v>
      </c>
      <c r="M36" s="321"/>
      <c r="N36" s="321"/>
      <c r="O36" s="321"/>
      <c r="P36" s="321"/>
      <c r="Q36" s="321"/>
      <c r="R36" s="322" t="e">
        <f>SUM(#REF!)</f>
        <v>#REF!</v>
      </c>
      <c r="S36" s="322" t="e">
        <f>#REF!=SUM(L36:R36)</f>
        <v>#REF!</v>
      </c>
      <c r="T36" s="313">
        <v>424801.41</v>
      </c>
      <c r="U36" s="436">
        <f t="shared" si="1"/>
        <v>70.800235</v>
      </c>
    </row>
    <row r="37" spans="1:21" ht="45" customHeight="1">
      <c r="A37" s="306"/>
      <c r="B37" s="320"/>
      <c r="C37" s="338" t="s">
        <v>315</v>
      </c>
      <c r="D37" s="339" t="s">
        <v>257</v>
      </c>
      <c r="E37" s="331" t="s">
        <v>265</v>
      </c>
      <c r="F37" s="331" t="s">
        <v>60</v>
      </c>
      <c r="G37" s="331" t="s">
        <v>15</v>
      </c>
      <c r="H37" s="331" t="s">
        <v>257</v>
      </c>
      <c r="I37" s="331" t="s">
        <v>33</v>
      </c>
      <c r="J37" s="331" t="s">
        <v>258</v>
      </c>
      <c r="K37" s="331" t="s">
        <v>313</v>
      </c>
      <c r="L37" s="313">
        <f>L38+L40</f>
        <v>7378000</v>
      </c>
      <c r="M37" s="321"/>
      <c r="N37" s="321"/>
      <c r="O37" s="321"/>
      <c r="P37" s="321"/>
      <c r="Q37" s="321"/>
      <c r="R37" s="322"/>
      <c r="S37" s="322"/>
      <c r="T37" s="313">
        <f>T38+T40</f>
        <v>6788499.779999999</v>
      </c>
      <c r="U37" s="436">
        <f t="shared" si="1"/>
        <v>92.01002683654106</v>
      </c>
    </row>
    <row r="38" spans="1:21" ht="35.25" customHeight="1">
      <c r="A38" s="337" t="s">
        <v>314</v>
      </c>
      <c r="B38" s="320"/>
      <c r="C38" s="340" t="s">
        <v>317</v>
      </c>
      <c r="D38" s="341" t="s">
        <v>257</v>
      </c>
      <c r="E38" s="341" t="s">
        <v>265</v>
      </c>
      <c r="F38" s="341" t="s">
        <v>60</v>
      </c>
      <c r="G38" s="341" t="s">
        <v>15</v>
      </c>
      <c r="H38" s="341" t="s">
        <v>266</v>
      </c>
      <c r="I38" s="341" t="s">
        <v>33</v>
      </c>
      <c r="J38" s="341" t="s">
        <v>258</v>
      </c>
      <c r="K38" s="341" t="s">
        <v>313</v>
      </c>
      <c r="L38" s="307">
        <f>L39</f>
        <v>1978000</v>
      </c>
      <c r="M38" s="321" t="e">
        <f>#REF!</f>
        <v>#REF!</v>
      </c>
      <c r="N38" s="321" t="e">
        <f>#REF!</f>
        <v>#REF!</v>
      </c>
      <c r="O38" s="321" t="e">
        <f>#REF!</f>
        <v>#REF!</v>
      </c>
      <c r="P38" s="321" t="e">
        <f>#REF!</f>
        <v>#REF!</v>
      </c>
      <c r="Q38" s="321" t="e">
        <f>#REF!</f>
        <v>#REF!</v>
      </c>
      <c r="R38" s="322" t="e">
        <f>#REF!</f>
        <v>#REF!</v>
      </c>
      <c r="S38" s="322" t="e">
        <f>#REF!=SUM(L38:R38)</f>
        <v>#REF!</v>
      </c>
      <c r="T38" s="307">
        <f>T39</f>
        <v>2009701.93</v>
      </c>
      <c r="U38" s="436">
        <f t="shared" si="1"/>
        <v>101.60272649140545</v>
      </c>
    </row>
    <row r="39" spans="1:21" ht="40.5" customHeight="1">
      <c r="A39" s="317" t="s">
        <v>316</v>
      </c>
      <c r="B39" s="320"/>
      <c r="C39" s="342" t="s">
        <v>319</v>
      </c>
      <c r="D39" s="343" t="s">
        <v>257</v>
      </c>
      <c r="E39" s="343" t="s">
        <v>265</v>
      </c>
      <c r="F39" s="343" t="s">
        <v>60</v>
      </c>
      <c r="G39" s="343" t="s">
        <v>15</v>
      </c>
      <c r="H39" s="343" t="s">
        <v>90</v>
      </c>
      <c r="I39" s="343" t="s">
        <v>14</v>
      </c>
      <c r="J39" s="343" t="s">
        <v>258</v>
      </c>
      <c r="K39" s="343" t="s">
        <v>313</v>
      </c>
      <c r="L39" s="319">
        <v>1978000</v>
      </c>
      <c r="M39" s="321"/>
      <c r="N39" s="321"/>
      <c r="O39" s="321"/>
      <c r="P39" s="321"/>
      <c r="Q39" s="321"/>
      <c r="R39" s="322"/>
      <c r="S39" s="322"/>
      <c r="T39" s="319">
        <v>2009701.93</v>
      </c>
      <c r="U39" s="436">
        <f t="shared" si="1"/>
        <v>101.60272649140545</v>
      </c>
    </row>
    <row r="40" spans="1:21" ht="66" customHeight="1">
      <c r="A40" s="317" t="s">
        <v>318</v>
      </c>
      <c r="B40" s="320"/>
      <c r="C40" s="344" t="s">
        <v>321</v>
      </c>
      <c r="D40" s="341" t="s">
        <v>63</v>
      </c>
      <c r="E40" s="341" t="s">
        <v>265</v>
      </c>
      <c r="F40" s="341" t="s">
        <v>60</v>
      </c>
      <c r="G40" s="341" t="s">
        <v>15</v>
      </c>
      <c r="H40" s="341" t="s">
        <v>322</v>
      </c>
      <c r="I40" s="341" t="s">
        <v>15</v>
      </c>
      <c r="J40" s="341" t="s">
        <v>258</v>
      </c>
      <c r="K40" s="341" t="s">
        <v>313</v>
      </c>
      <c r="L40" s="307">
        <f>L41</f>
        <v>5400000</v>
      </c>
      <c r="M40" s="308" t="e">
        <f>M41+#REF!+#REF!</f>
        <v>#REF!</v>
      </c>
      <c r="N40" s="308" t="e">
        <f>N41+#REF!+#REF!</f>
        <v>#REF!</v>
      </c>
      <c r="O40" s="308" t="e">
        <f>O41+#REF!+#REF!</f>
        <v>#REF!</v>
      </c>
      <c r="P40" s="308" t="e">
        <f>P41+#REF!+#REF!</f>
        <v>#REF!</v>
      </c>
      <c r="Q40" s="308" t="e">
        <f>Q41+#REF!+#REF!</f>
        <v>#REF!</v>
      </c>
      <c r="R40" s="309" t="e">
        <f>R41+#REF!+#REF!</f>
        <v>#REF!</v>
      </c>
      <c r="S40" s="309" t="e">
        <f>#REF!=SUM(L40:R40)</f>
        <v>#REF!</v>
      </c>
      <c r="T40" s="307">
        <f>T41</f>
        <v>4778797.85</v>
      </c>
      <c r="U40" s="436">
        <f t="shared" si="1"/>
        <v>88.49625648148147</v>
      </c>
    </row>
    <row r="41" spans="1:21" s="310" customFormat="1" ht="54" customHeight="1">
      <c r="A41" s="317" t="s">
        <v>320</v>
      </c>
      <c r="B41" s="334"/>
      <c r="C41" s="346" t="s">
        <v>324</v>
      </c>
      <c r="D41" s="343" t="s">
        <v>257</v>
      </c>
      <c r="E41" s="343" t="s">
        <v>265</v>
      </c>
      <c r="F41" s="343" t="s">
        <v>60</v>
      </c>
      <c r="G41" s="343" t="s">
        <v>15</v>
      </c>
      <c r="H41" s="343" t="s">
        <v>322</v>
      </c>
      <c r="I41" s="343" t="s">
        <v>15</v>
      </c>
      <c r="J41" s="343" t="s">
        <v>258</v>
      </c>
      <c r="K41" s="343" t="s">
        <v>313</v>
      </c>
      <c r="L41" s="319">
        <v>5400000</v>
      </c>
      <c r="M41" s="314"/>
      <c r="N41" s="314"/>
      <c r="O41" s="314"/>
      <c r="P41" s="314"/>
      <c r="Q41" s="314"/>
      <c r="R41" s="315"/>
      <c r="S41" s="315" t="e">
        <f>#REF!=SUM(L41:R41)</f>
        <v>#REF!</v>
      </c>
      <c r="T41" s="319">
        <v>4778797.85</v>
      </c>
      <c r="U41" s="436">
        <f t="shared" si="1"/>
        <v>88.49625648148147</v>
      </c>
    </row>
    <row r="42" spans="1:21" s="316" customFormat="1" ht="65.25" customHeight="1">
      <c r="A42" s="317" t="s">
        <v>323</v>
      </c>
      <c r="B42" s="311"/>
      <c r="C42" s="340" t="s">
        <v>326</v>
      </c>
      <c r="D42" s="479" t="s">
        <v>257</v>
      </c>
      <c r="E42" s="341" t="s">
        <v>265</v>
      </c>
      <c r="F42" s="341" t="s">
        <v>13</v>
      </c>
      <c r="G42" s="341" t="s">
        <v>33</v>
      </c>
      <c r="H42" s="341" t="s">
        <v>257</v>
      </c>
      <c r="I42" s="341" t="s">
        <v>33</v>
      </c>
      <c r="J42" s="341" t="s">
        <v>258</v>
      </c>
      <c r="K42" s="341" t="s">
        <v>257</v>
      </c>
      <c r="L42" s="307">
        <f>L43</f>
        <v>800000</v>
      </c>
      <c r="M42" s="321"/>
      <c r="N42" s="321"/>
      <c r="O42" s="321"/>
      <c r="P42" s="321"/>
      <c r="Q42" s="321"/>
      <c r="R42" s="322"/>
      <c r="S42" s="322"/>
      <c r="T42" s="307">
        <f>T43</f>
        <v>760756.66</v>
      </c>
      <c r="U42" s="436">
        <f t="shared" si="1"/>
        <v>95.0945825</v>
      </c>
    </row>
    <row r="43" spans="1:21" s="345" customFormat="1" ht="44.25" customHeight="1">
      <c r="A43" s="306" t="s">
        <v>325</v>
      </c>
      <c r="B43" s="347"/>
      <c r="C43" s="397" t="s">
        <v>328</v>
      </c>
      <c r="D43" s="331" t="s">
        <v>257</v>
      </c>
      <c r="E43" s="331" t="s">
        <v>265</v>
      </c>
      <c r="F43" s="331" t="s">
        <v>13</v>
      </c>
      <c r="G43" s="331" t="s">
        <v>8</v>
      </c>
      <c r="H43" s="331" t="s">
        <v>257</v>
      </c>
      <c r="I43" s="331" t="s">
        <v>8</v>
      </c>
      <c r="J43" s="331" t="s">
        <v>258</v>
      </c>
      <c r="K43" s="331" t="s">
        <v>313</v>
      </c>
      <c r="L43" s="313">
        <f>L44+L45+L47+L46</f>
        <v>800000</v>
      </c>
      <c r="M43" s="321"/>
      <c r="N43" s="321"/>
      <c r="O43" s="321"/>
      <c r="P43" s="321"/>
      <c r="Q43" s="321"/>
      <c r="R43" s="322"/>
      <c r="S43" s="322"/>
      <c r="T43" s="313">
        <f>T44+T45+T47+T46</f>
        <v>760756.66</v>
      </c>
      <c r="U43" s="436">
        <f t="shared" si="1"/>
        <v>95.0945825</v>
      </c>
    </row>
    <row r="44" spans="1:21" s="316" customFormat="1" ht="48" customHeight="1">
      <c r="A44" s="337" t="s">
        <v>327</v>
      </c>
      <c r="B44" s="320"/>
      <c r="C44" s="348" t="s">
        <v>329</v>
      </c>
      <c r="D44" s="343" t="s">
        <v>257</v>
      </c>
      <c r="E44" s="343" t="s">
        <v>265</v>
      </c>
      <c r="F44" s="343" t="s">
        <v>13</v>
      </c>
      <c r="G44" s="343" t="s">
        <v>8</v>
      </c>
      <c r="H44" s="343" t="s">
        <v>266</v>
      </c>
      <c r="I44" s="343" t="s">
        <v>8</v>
      </c>
      <c r="J44" s="343" t="s">
        <v>258</v>
      </c>
      <c r="K44" s="343" t="s">
        <v>313</v>
      </c>
      <c r="L44" s="319">
        <v>122000</v>
      </c>
      <c r="M44" s="321"/>
      <c r="N44" s="321"/>
      <c r="O44" s="321"/>
      <c r="P44" s="321"/>
      <c r="Q44" s="321"/>
      <c r="R44" s="322"/>
      <c r="S44" s="322"/>
      <c r="T44" s="319">
        <v>92829.79</v>
      </c>
      <c r="U44" s="436">
        <f t="shared" si="1"/>
        <v>76.08999180327868</v>
      </c>
    </row>
    <row r="45" spans="1:21" s="345" customFormat="1" ht="23.25" customHeight="1">
      <c r="A45" s="337"/>
      <c r="B45" s="331"/>
      <c r="C45" s="348" t="s">
        <v>330</v>
      </c>
      <c r="D45" s="343" t="s">
        <v>257</v>
      </c>
      <c r="E45" s="343" t="s">
        <v>265</v>
      </c>
      <c r="F45" s="343" t="s">
        <v>13</v>
      </c>
      <c r="G45" s="343" t="s">
        <v>8</v>
      </c>
      <c r="H45" s="343" t="s">
        <v>269</v>
      </c>
      <c r="I45" s="343" t="s">
        <v>8</v>
      </c>
      <c r="J45" s="343" t="s">
        <v>258</v>
      </c>
      <c r="K45" s="343" t="s">
        <v>313</v>
      </c>
      <c r="L45" s="319">
        <v>145000</v>
      </c>
      <c r="M45" s="308"/>
      <c r="N45" s="308">
        <v>0</v>
      </c>
      <c r="O45" s="308"/>
      <c r="P45" s="308"/>
      <c r="Q45" s="321"/>
      <c r="R45" s="322"/>
      <c r="S45" s="322"/>
      <c r="T45" s="319">
        <v>140965.38</v>
      </c>
      <c r="U45" s="436">
        <f t="shared" si="1"/>
        <v>97.21750344827586</v>
      </c>
    </row>
    <row r="46" spans="1:21" ht="21" customHeight="1">
      <c r="A46" s="337"/>
      <c r="B46" s="331"/>
      <c r="C46" s="484" t="s">
        <v>561</v>
      </c>
      <c r="D46" s="343" t="s">
        <v>257</v>
      </c>
      <c r="E46" s="343" t="s">
        <v>265</v>
      </c>
      <c r="F46" s="343" t="s">
        <v>13</v>
      </c>
      <c r="G46" s="343" t="s">
        <v>8</v>
      </c>
      <c r="H46" s="343" t="s">
        <v>272</v>
      </c>
      <c r="I46" s="343" t="s">
        <v>8</v>
      </c>
      <c r="J46" s="343" t="s">
        <v>257</v>
      </c>
      <c r="K46" s="343" t="s">
        <v>313</v>
      </c>
      <c r="L46" s="319">
        <v>13000</v>
      </c>
      <c r="M46" s="321"/>
      <c r="N46" s="321"/>
      <c r="O46" s="321"/>
      <c r="P46" s="321"/>
      <c r="Q46" s="321"/>
      <c r="R46" s="322"/>
      <c r="S46" s="322"/>
      <c r="T46" s="319">
        <v>13017.13</v>
      </c>
      <c r="U46" s="436">
        <f t="shared" si="1"/>
        <v>100.13176923076924</v>
      </c>
    </row>
    <row r="47" spans="1:21" ht="24.75" customHeight="1">
      <c r="A47" s="337"/>
      <c r="B47" s="312"/>
      <c r="C47" s="348" t="s">
        <v>331</v>
      </c>
      <c r="D47" s="343" t="s">
        <v>257</v>
      </c>
      <c r="E47" s="343" t="s">
        <v>265</v>
      </c>
      <c r="F47" s="343" t="s">
        <v>13</v>
      </c>
      <c r="G47" s="343" t="s">
        <v>8</v>
      </c>
      <c r="H47" s="343" t="s">
        <v>275</v>
      </c>
      <c r="I47" s="343" t="s">
        <v>8</v>
      </c>
      <c r="J47" s="343" t="s">
        <v>258</v>
      </c>
      <c r="K47" s="343" t="s">
        <v>313</v>
      </c>
      <c r="L47" s="319">
        <v>520000</v>
      </c>
      <c r="M47" s="321"/>
      <c r="N47" s="321"/>
      <c r="O47" s="321"/>
      <c r="P47" s="321"/>
      <c r="Q47" s="321"/>
      <c r="R47" s="322"/>
      <c r="S47" s="322"/>
      <c r="T47" s="319">
        <v>513944.36</v>
      </c>
      <c r="U47" s="436">
        <f t="shared" si="1"/>
        <v>98.83545384615384</v>
      </c>
    </row>
    <row r="48" spans="1:21" ht="24" customHeight="1">
      <c r="A48" s="337"/>
      <c r="B48" s="311"/>
      <c r="C48" s="340" t="s">
        <v>333</v>
      </c>
      <c r="D48" s="341" t="s">
        <v>257</v>
      </c>
      <c r="E48" s="341" t="s">
        <v>265</v>
      </c>
      <c r="F48" s="341" t="s">
        <v>103</v>
      </c>
      <c r="G48" s="341" t="s">
        <v>33</v>
      </c>
      <c r="H48" s="341" t="s">
        <v>257</v>
      </c>
      <c r="I48" s="341" t="s">
        <v>33</v>
      </c>
      <c r="J48" s="341" t="s">
        <v>258</v>
      </c>
      <c r="K48" s="341" t="s">
        <v>257</v>
      </c>
      <c r="L48" s="307">
        <f>L49</f>
        <v>12200000</v>
      </c>
      <c r="M48" s="308">
        <f aca="true" t="shared" si="5" ref="M48:R49">M49</f>
        <v>0</v>
      </c>
      <c r="N48" s="308">
        <f t="shared" si="5"/>
        <v>0</v>
      </c>
      <c r="O48" s="308">
        <f t="shared" si="5"/>
        <v>0</v>
      </c>
      <c r="P48" s="308">
        <f t="shared" si="5"/>
        <v>0</v>
      </c>
      <c r="Q48" s="308">
        <f t="shared" si="5"/>
        <v>0</v>
      </c>
      <c r="R48" s="309">
        <f t="shared" si="5"/>
        <v>0</v>
      </c>
      <c r="S48" s="309" t="e">
        <f>#REF!=SUM(L48:R48)</f>
        <v>#REF!</v>
      </c>
      <c r="T48" s="307">
        <f>T49</f>
        <v>11270465.35</v>
      </c>
      <c r="U48" s="436">
        <f t="shared" si="1"/>
        <v>92.38086352459017</v>
      </c>
    </row>
    <row r="49" spans="1:21" ht="24.75" customHeight="1">
      <c r="A49" s="306" t="s">
        <v>332</v>
      </c>
      <c r="B49" s="311"/>
      <c r="C49" s="397" t="s">
        <v>335</v>
      </c>
      <c r="D49" s="343" t="s">
        <v>257</v>
      </c>
      <c r="E49" s="343" t="s">
        <v>265</v>
      </c>
      <c r="F49" s="343" t="s">
        <v>103</v>
      </c>
      <c r="G49" s="343" t="s">
        <v>8</v>
      </c>
      <c r="H49" s="343" t="s">
        <v>336</v>
      </c>
      <c r="I49" s="343" t="s">
        <v>33</v>
      </c>
      <c r="J49" s="343" t="s">
        <v>258</v>
      </c>
      <c r="K49" s="343" t="s">
        <v>337</v>
      </c>
      <c r="L49" s="319">
        <f>L50</f>
        <v>12200000</v>
      </c>
      <c r="M49" s="314">
        <f t="shared" si="5"/>
        <v>0</v>
      </c>
      <c r="N49" s="314">
        <f t="shared" si="5"/>
        <v>0</v>
      </c>
      <c r="O49" s="314">
        <f t="shared" si="5"/>
        <v>0</v>
      </c>
      <c r="P49" s="314">
        <f t="shared" si="5"/>
        <v>0</v>
      </c>
      <c r="Q49" s="314">
        <f t="shared" si="5"/>
        <v>0</v>
      </c>
      <c r="R49" s="315">
        <f t="shared" si="5"/>
        <v>0</v>
      </c>
      <c r="S49" s="315" t="e">
        <f>#REF!=SUM(L49:R49)</f>
        <v>#REF!</v>
      </c>
      <c r="T49" s="319">
        <f>T50</f>
        <v>11270465.35</v>
      </c>
      <c r="U49" s="436">
        <f t="shared" si="1"/>
        <v>92.38086352459017</v>
      </c>
    </row>
    <row r="50" spans="1:21" s="310" customFormat="1" ht="38.25" customHeight="1">
      <c r="A50" s="349" t="s">
        <v>334</v>
      </c>
      <c r="B50" s="320"/>
      <c r="C50" s="342" t="s">
        <v>339</v>
      </c>
      <c r="D50" s="343" t="s">
        <v>257</v>
      </c>
      <c r="E50" s="343" t="s">
        <v>265</v>
      </c>
      <c r="F50" s="343" t="s">
        <v>103</v>
      </c>
      <c r="G50" s="343" t="s">
        <v>8</v>
      </c>
      <c r="H50" s="343" t="s">
        <v>336</v>
      </c>
      <c r="I50" s="343" t="s">
        <v>15</v>
      </c>
      <c r="J50" s="343" t="s">
        <v>258</v>
      </c>
      <c r="K50" s="343" t="s">
        <v>337</v>
      </c>
      <c r="L50" s="319">
        <v>12200000</v>
      </c>
      <c r="M50" s="321"/>
      <c r="N50" s="321"/>
      <c r="O50" s="321"/>
      <c r="P50" s="321"/>
      <c r="Q50" s="321"/>
      <c r="R50" s="322"/>
      <c r="S50" s="322" t="e">
        <f>#REF!=SUM(L50:R50)</f>
        <v>#REF!</v>
      </c>
      <c r="T50" s="319">
        <v>11270465.35</v>
      </c>
      <c r="U50" s="436">
        <f t="shared" si="1"/>
        <v>92.38086352459017</v>
      </c>
    </row>
    <row r="51" spans="1:21" ht="39" customHeight="1">
      <c r="A51" s="317" t="s">
        <v>338</v>
      </c>
      <c r="B51" s="320"/>
      <c r="C51" s="340" t="s">
        <v>341</v>
      </c>
      <c r="D51" s="341" t="s">
        <v>257</v>
      </c>
      <c r="E51" s="341" t="s">
        <v>265</v>
      </c>
      <c r="F51" s="341" t="s">
        <v>66</v>
      </c>
      <c r="G51" s="341" t="s">
        <v>33</v>
      </c>
      <c r="H51" s="341" t="s">
        <v>257</v>
      </c>
      <c r="I51" s="341" t="s">
        <v>33</v>
      </c>
      <c r="J51" s="341" t="s">
        <v>258</v>
      </c>
      <c r="K51" s="341" t="s">
        <v>257</v>
      </c>
      <c r="L51" s="307">
        <f>L52+L55</f>
        <v>4700000</v>
      </c>
      <c r="M51" s="321"/>
      <c r="N51" s="321"/>
      <c r="O51" s="321"/>
      <c r="P51" s="321"/>
      <c r="Q51" s="321"/>
      <c r="R51" s="322"/>
      <c r="S51" s="322"/>
      <c r="T51" s="307">
        <f>T52+T55</f>
        <v>3958673.56</v>
      </c>
      <c r="U51" s="436">
        <f t="shared" si="1"/>
        <v>84.22709702127659</v>
      </c>
    </row>
    <row r="52" spans="1:21" s="352" customFormat="1" ht="35.25" customHeight="1">
      <c r="A52" s="306" t="s">
        <v>340</v>
      </c>
      <c r="B52" s="320"/>
      <c r="C52" s="397" t="s">
        <v>343</v>
      </c>
      <c r="D52" s="331" t="s">
        <v>63</v>
      </c>
      <c r="E52" s="331" t="s">
        <v>265</v>
      </c>
      <c r="F52" s="331" t="s">
        <v>66</v>
      </c>
      <c r="G52" s="331" t="s">
        <v>16</v>
      </c>
      <c r="H52" s="331" t="s">
        <v>257</v>
      </c>
      <c r="I52" s="331" t="s">
        <v>33</v>
      </c>
      <c r="J52" s="331" t="s">
        <v>258</v>
      </c>
      <c r="K52" s="331" t="s">
        <v>257</v>
      </c>
      <c r="L52" s="313">
        <f>L53</f>
        <v>2900000</v>
      </c>
      <c r="M52" s="350"/>
      <c r="N52" s="350"/>
      <c r="O52" s="350"/>
      <c r="P52" s="350"/>
      <c r="Q52" s="350"/>
      <c r="R52" s="351"/>
      <c r="S52" s="351"/>
      <c r="T52" s="313">
        <f>T53</f>
        <v>2201625.91</v>
      </c>
      <c r="U52" s="436">
        <f t="shared" si="1"/>
        <v>75.91813482758621</v>
      </c>
    </row>
    <row r="53" spans="1:21" s="310" customFormat="1" ht="42" customHeight="1">
      <c r="A53" s="311" t="s">
        <v>342</v>
      </c>
      <c r="B53" s="301"/>
      <c r="C53" s="342" t="s">
        <v>345</v>
      </c>
      <c r="D53" s="324" t="s">
        <v>63</v>
      </c>
      <c r="E53" s="324" t="s">
        <v>265</v>
      </c>
      <c r="F53" s="324" t="s">
        <v>66</v>
      </c>
      <c r="G53" s="324" t="s">
        <v>16</v>
      </c>
      <c r="H53" s="324" t="s">
        <v>312</v>
      </c>
      <c r="I53" s="324" t="s">
        <v>15</v>
      </c>
      <c r="J53" s="324" t="s">
        <v>258</v>
      </c>
      <c r="K53" s="324" t="s">
        <v>346</v>
      </c>
      <c r="L53" s="319">
        <v>2900000</v>
      </c>
      <c r="M53" s="321"/>
      <c r="N53" s="321"/>
      <c r="O53" s="321"/>
      <c r="P53" s="321"/>
      <c r="Q53" s="321"/>
      <c r="R53" s="322"/>
      <c r="S53" s="322"/>
      <c r="T53" s="319">
        <f>T54</f>
        <v>2201625.91</v>
      </c>
      <c r="U53" s="436">
        <f t="shared" si="1"/>
        <v>75.91813482758621</v>
      </c>
    </row>
    <row r="54" spans="1:21" s="316" customFormat="1" ht="74.25" customHeight="1">
      <c r="A54" s="317" t="s">
        <v>344</v>
      </c>
      <c r="B54" s="306"/>
      <c r="C54" s="355" t="s">
        <v>348</v>
      </c>
      <c r="D54" s="324" t="s">
        <v>63</v>
      </c>
      <c r="E54" s="324" t="s">
        <v>265</v>
      </c>
      <c r="F54" s="324" t="s">
        <v>66</v>
      </c>
      <c r="G54" s="324" t="s">
        <v>16</v>
      </c>
      <c r="H54" s="324" t="s">
        <v>349</v>
      </c>
      <c r="I54" s="324" t="s">
        <v>15</v>
      </c>
      <c r="J54" s="324" t="s">
        <v>258</v>
      </c>
      <c r="K54" s="324" t="s">
        <v>346</v>
      </c>
      <c r="L54" s="319">
        <v>2900000</v>
      </c>
      <c r="M54" s="353"/>
      <c r="N54" s="353" t="e">
        <f>N55+N63</f>
        <v>#REF!</v>
      </c>
      <c r="O54" s="353" t="e">
        <f>O55+O63</f>
        <v>#REF!</v>
      </c>
      <c r="P54" s="353" t="e">
        <f>P55+P63</f>
        <v>#REF!</v>
      </c>
      <c r="Q54" s="353" t="e">
        <f>Q55+Q63</f>
        <v>#REF!</v>
      </c>
      <c r="R54" s="354" t="e">
        <f>R55+R63</f>
        <v>#REF!</v>
      </c>
      <c r="S54" s="354" t="e">
        <f>#REF!=SUM(L54:R54)</f>
        <v>#REF!</v>
      </c>
      <c r="T54" s="319">
        <v>2201625.91</v>
      </c>
      <c r="U54" s="436">
        <f t="shared" si="1"/>
        <v>75.91813482758621</v>
      </c>
    </row>
    <row r="55" spans="1:21" ht="72" customHeight="1">
      <c r="A55" s="317" t="s">
        <v>347</v>
      </c>
      <c r="B55" s="311"/>
      <c r="C55" s="485" t="s">
        <v>351</v>
      </c>
      <c r="D55" s="331" t="s">
        <v>63</v>
      </c>
      <c r="E55" s="331" t="s">
        <v>265</v>
      </c>
      <c r="F55" s="331" t="s">
        <v>66</v>
      </c>
      <c r="G55" s="331" t="s">
        <v>9</v>
      </c>
      <c r="H55" s="331" t="s">
        <v>257</v>
      </c>
      <c r="I55" s="331" t="s">
        <v>33</v>
      </c>
      <c r="J55" s="331" t="s">
        <v>258</v>
      </c>
      <c r="K55" s="331" t="s">
        <v>352</v>
      </c>
      <c r="L55" s="313">
        <f>L56+L57</f>
        <v>1800000</v>
      </c>
      <c r="M55" s="314"/>
      <c r="N55" s="314" t="e">
        <f>N56+#REF!+N57</f>
        <v>#REF!</v>
      </c>
      <c r="O55" s="314" t="e">
        <f>O56+#REF!+O57</f>
        <v>#REF!</v>
      </c>
      <c r="P55" s="314" t="e">
        <f>P56+#REF!+P57</f>
        <v>#REF!</v>
      </c>
      <c r="Q55" s="314" t="e">
        <f>Q56+#REF!+Q57</f>
        <v>#REF!</v>
      </c>
      <c r="R55" s="314" t="e">
        <f>R56+#REF!+R57</f>
        <v>#REF!</v>
      </c>
      <c r="S55" s="315" t="e">
        <f>#REF!=SUM(L55:R55)</f>
        <v>#REF!</v>
      </c>
      <c r="T55" s="313">
        <f>T56+T57</f>
        <v>1757047.65</v>
      </c>
      <c r="U55" s="436">
        <f t="shared" si="1"/>
        <v>97.61375833333334</v>
      </c>
    </row>
    <row r="56" spans="1:21" ht="69" customHeight="1">
      <c r="A56" s="311" t="s">
        <v>350</v>
      </c>
      <c r="B56" s="356"/>
      <c r="C56" s="318" t="s">
        <v>354</v>
      </c>
      <c r="D56" s="343" t="s">
        <v>63</v>
      </c>
      <c r="E56" s="343" t="s">
        <v>265</v>
      </c>
      <c r="F56" s="343" t="s">
        <v>66</v>
      </c>
      <c r="G56" s="343" t="s">
        <v>9</v>
      </c>
      <c r="H56" s="343" t="s">
        <v>90</v>
      </c>
      <c r="I56" s="343" t="s">
        <v>14</v>
      </c>
      <c r="J56" s="343" t="s">
        <v>258</v>
      </c>
      <c r="K56" s="343" t="s">
        <v>352</v>
      </c>
      <c r="L56" s="319">
        <v>350000</v>
      </c>
      <c r="M56" s="321"/>
      <c r="N56" s="321"/>
      <c r="O56" s="321"/>
      <c r="P56" s="321"/>
      <c r="Q56" s="321"/>
      <c r="R56" s="322"/>
      <c r="S56" s="322" t="e">
        <f>#REF!=SUM(L56:R56)</f>
        <v>#REF!</v>
      </c>
      <c r="T56" s="319">
        <v>377981.86</v>
      </c>
      <c r="U56" s="436">
        <f t="shared" si="1"/>
        <v>107.99481714285714</v>
      </c>
    </row>
    <row r="57" spans="1:21" ht="59.25" customHeight="1">
      <c r="A57" s="317" t="s">
        <v>353</v>
      </c>
      <c r="B57" s="320"/>
      <c r="C57" s="328" t="s">
        <v>356</v>
      </c>
      <c r="D57" s="343" t="s">
        <v>63</v>
      </c>
      <c r="E57" s="343" t="s">
        <v>265</v>
      </c>
      <c r="F57" s="343" t="s">
        <v>66</v>
      </c>
      <c r="G57" s="343" t="s">
        <v>9</v>
      </c>
      <c r="H57" s="343" t="s">
        <v>357</v>
      </c>
      <c r="I57" s="343" t="s">
        <v>15</v>
      </c>
      <c r="J57" s="343" t="s">
        <v>258</v>
      </c>
      <c r="K57" s="343" t="s">
        <v>352</v>
      </c>
      <c r="L57" s="319">
        <v>1450000</v>
      </c>
      <c r="M57" s="321"/>
      <c r="N57" s="321"/>
      <c r="O57" s="321"/>
      <c r="P57" s="321"/>
      <c r="Q57" s="321"/>
      <c r="R57" s="322"/>
      <c r="S57" s="322" t="e">
        <f>#REF!=SUM(L57:R57)</f>
        <v>#REF!</v>
      </c>
      <c r="T57" s="319">
        <v>1379065.79</v>
      </c>
      <c r="U57" s="436">
        <f t="shared" si="1"/>
        <v>95.10798551724137</v>
      </c>
    </row>
    <row r="58" spans="1:21" ht="34.5" customHeight="1">
      <c r="A58" s="317" t="s">
        <v>355</v>
      </c>
      <c r="B58" s="320"/>
      <c r="C58" s="340" t="s">
        <v>359</v>
      </c>
      <c r="D58" s="486" t="s">
        <v>257</v>
      </c>
      <c r="E58" s="487" t="s">
        <v>265</v>
      </c>
      <c r="F58" s="487" t="s">
        <v>360</v>
      </c>
      <c r="G58" s="487" t="s">
        <v>33</v>
      </c>
      <c r="H58" s="487" t="s">
        <v>257</v>
      </c>
      <c r="I58" s="487" t="s">
        <v>33</v>
      </c>
      <c r="J58" s="487" t="s">
        <v>258</v>
      </c>
      <c r="K58" s="487" t="s">
        <v>257</v>
      </c>
      <c r="L58" s="357">
        <f>L59+SUM(L62:L70)</f>
        <v>1647000</v>
      </c>
      <c r="M58" s="321"/>
      <c r="N58" s="321"/>
      <c r="O58" s="321"/>
      <c r="P58" s="321"/>
      <c r="Q58" s="321"/>
      <c r="R58" s="322"/>
      <c r="S58" s="322"/>
      <c r="T58" s="357">
        <f>T59+SUM(T62:T70)</f>
        <v>1746325.95</v>
      </c>
      <c r="U58" s="436">
        <f t="shared" si="1"/>
        <v>106.03071948998178</v>
      </c>
    </row>
    <row r="59" spans="1:21" ht="51.75" customHeight="1">
      <c r="A59" s="334" t="s">
        <v>358</v>
      </c>
      <c r="B59" s="320"/>
      <c r="C59" s="397" t="s">
        <v>362</v>
      </c>
      <c r="D59" s="331" t="s">
        <v>257</v>
      </c>
      <c r="E59" s="331" t="s">
        <v>265</v>
      </c>
      <c r="F59" s="331" t="s">
        <v>360</v>
      </c>
      <c r="G59" s="331" t="s">
        <v>18</v>
      </c>
      <c r="H59" s="331" t="s">
        <v>257</v>
      </c>
      <c r="I59" s="331" t="s">
        <v>33</v>
      </c>
      <c r="J59" s="331" t="s">
        <v>258</v>
      </c>
      <c r="K59" s="331" t="s">
        <v>363</v>
      </c>
      <c r="L59" s="358">
        <f>L60+L61</f>
        <v>63000</v>
      </c>
      <c r="M59" s="321"/>
      <c r="N59" s="321"/>
      <c r="O59" s="321"/>
      <c r="P59" s="321"/>
      <c r="Q59" s="321"/>
      <c r="R59" s="322"/>
      <c r="S59" s="322"/>
      <c r="T59" s="358">
        <f>T60+T61</f>
        <v>60424.49</v>
      </c>
      <c r="U59" s="436">
        <f t="shared" si="1"/>
        <v>95.91188888888888</v>
      </c>
    </row>
    <row r="60" spans="1:21" ht="24.75" customHeight="1">
      <c r="A60" s="337" t="s">
        <v>361</v>
      </c>
      <c r="B60" s="320"/>
      <c r="C60" s="361" t="s">
        <v>365</v>
      </c>
      <c r="D60" s="343" t="s">
        <v>257</v>
      </c>
      <c r="E60" s="343" t="s">
        <v>265</v>
      </c>
      <c r="F60" s="343" t="s">
        <v>360</v>
      </c>
      <c r="G60" s="343" t="s">
        <v>18</v>
      </c>
      <c r="H60" s="343" t="s">
        <v>266</v>
      </c>
      <c r="I60" s="343" t="s">
        <v>8</v>
      </c>
      <c r="J60" s="343" t="s">
        <v>258</v>
      </c>
      <c r="K60" s="343" t="s">
        <v>363</v>
      </c>
      <c r="L60" s="319">
        <v>56000</v>
      </c>
      <c r="M60" s="321"/>
      <c r="N60" s="321"/>
      <c r="O60" s="321"/>
      <c r="P60" s="321"/>
      <c r="Q60" s="321"/>
      <c r="R60" s="322"/>
      <c r="S60" s="322"/>
      <c r="T60" s="319">
        <v>53437.25</v>
      </c>
      <c r="U60" s="436">
        <f t="shared" si="1"/>
        <v>95.42366071428572</v>
      </c>
    </row>
    <row r="61" spans="1:21" ht="36" customHeight="1">
      <c r="A61" s="317" t="s">
        <v>364</v>
      </c>
      <c r="B61" s="320"/>
      <c r="C61" s="362" t="s">
        <v>367</v>
      </c>
      <c r="D61" s="343" t="s">
        <v>257</v>
      </c>
      <c r="E61" s="343" t="s">
        <v>265</v>
      </c>
      <c r="F61" s="343" t="s">
        <v>360</v>
      </c>
      <c r="G61" s="343" t="s">
        <v>18</v>
      </c>
      <c r="H61" s="343" t="s">
        <v>272</v>
      </c>
      <c r="I61" s="343" t="s">
        <v>8</v>
      </c>
      <c r="J61" s="343" t="s">
        <v>258</v>
      </c>
      <c r="K61" s="343" t="s">
        <v>363</v>
      </c>
      <c r="L61" s="319">
        <v>7000</v>
      </c>
      <c r="M61" s="359"/>
      <c r="N61" s="359"/>
      <c r="O61" s="359"/>
      <c r="P61" s="359"/>
      <c r="Q61" s="359"/>
      <c r="R61" s="360"/>
      <c r="S61" s="360"/>
      <c r="T61" s="319">
        <v>6987.24</v>
      </c>
      <c r="U61" s="436">
        <f t="shared" si="1"/>
        <v>99.81771428571429</v>
      </c>
    </row>
    <row r="62" spans="1:21" ht="55.5" customHeight="1">
      <c r="A62" s="317" t="s">
        <v>366</v>
      </c>
      <c r="B62" s="320"/>
      <c r="C62" s="363" t="s">
        <v>369</v>
      </c>
      <c r="D62" s="331" t="s">
        <v>257</v>
      </c>
      <c r="E62" s="331" t="s">
        <v>265</v>
      </c>
      <c r="F62" s="331" t="s">
        <v>360</v>
      </c>
      <c r="G62" s="331" t="s">
        <v>9</v>
      </c>
      <c r="H62" s="331" t="s">
        <v>257</v>
      </c>
      <c r="I62" s="331" t="s">
        <v>8</v>
      </c>
      <c r="J62" s="331" t="s">
        <v>258</v>
      </c>
      <c r="K62" s="331" t="s">
        <v>363</v>
      </c>
      <c r="L62" s="313">
        <v>62000</v>
      </c>
      <c r="M62" s="321"/>
      <c r="N62" s="321"/>
      <c r="O62" s="321"/>
      <c r="P62" s="321"/>
      <c r="Q62" s="321"/>
      <c r="R62" s="322"/>
      <c r="S62" s="322"/>
      <c r="T62" s="313">
        <v>61929.14</v>
      </c>
      <c r="U62" s="436">
        <f t="shared" si="1"/>
        <v>99.88570967741936</v>
      </c>
    </row>
    <row r="63" spans="1:21" ht="52.5" customHeight="1">
      <c r="A63" s="337" t="s">
        <v>368</v>
      </c>
      <c r="B63" s="311"/>
      <c r="C63" s="363" t="s">
        <v>544</v>
      </c>
      <c r="D63" s="331" t="s">
        <v>257</v>
      </c>
      <c r="E63" s="331" t="s">
        <v>265</v>
      </c>
      <c r="F63" s="331" t="s">
        <v>360</v>
      </c>
      <c r="G63" s="331" t="s">
        <v>11</v>
      </c>
      <c r="H63" s="331" t="s">
        <v>266</v>
      </c>
      <c r="I63" s="331" t="s">
        <v>8</v>
      </c>
      <c r="J63" s="331" t="s">
        <v>258</v>
      </c>
      <c r="K63" s="331" t="s">
        <v>363</v>
      </c>
      <c r="L63" s="313">
        <v>210000</v>
      </c>
      <c r="M63" s="314">
        <f aca="true" t="shared" si="6" ref="M63:R63">M64</f>
        <v>0</v>
      </c>
      <c r="N63" s="314">
        <f t="shared" si="6"/>
        <v>0</v>
      </c>
      <c r="O63" s="314">
        <f t="shared" si="6"/>
        <v>0</v>
      </c>
      <c r="P63" s="314">
        <f t="shared" si="6"/>
        <v>0</v>
      </c>
      <c r="Q63" s="314">
        <f t="shared" si="6"/>
        <v>0</v>
      </c>
      <c r="R63" s="315">
        <f t="shared" si="6"/>
        <v>0</v>
      </c>
      <c r="S63" s="315" t="e">
        <f>#REF!=SUM(L63:R63)</f>
        <v>#REF!</v>
      </c>
      <c r="T63" s="313">
        <v>201500</v>
      </c>
      <c r="U63" s="436">
        <f t="shared" si="1"/>
        <v>95.95238095238095</v>
      </c>
    </row>
    <row r="64" spans="1:21" s="316" customFormat="1" ht="39.75" customHeight="1">
      <c r="A64" s="317"/>
      <c r="B64" s="311"/>
      <c r="C64" s="488" t="s">
        <v>370</v>
      </c>
      <c r="D64" s="331" t="s">
        <v>257</v>
      </c>
      <c r="E64" s="331" t="s">
        <v>265</v>
      </c>
      <c r="F64" s="331" t="s">
        <v>360</v>
      </c>
      <c r="G64" s="331" t="s">
        <v>371</v>
      </c>
      <c r="H64" s="331" t="s">
        <v>272</v>
      </c>
      <c r="I64" s="331" t="s">
        <v>8</v>
      </c>
      <c r="J64" s="331" t="s">
        <v>258</v>
      </c>
      <c r="K64" s="331" t="s">
        <v>363</v>
      </c>
      <c r="L64" s="313">
        <v>20000</v>
      </c>
      <c r="M64" s="321"/>
      <c r="N64" s="321"/>
      <c r="O64" s="321"/>
      <c r="P64" s="321"/>
      <c r="Q64" s="321"/>
      <c r="R64" s="322"/>
      <c r="S64" s="322" t="e">
        <f>#REF!=SUM(L64:R64)</f>
        <v>#REF!</v>
      </c>
      <c r="T64" s="313">
        <v>22436.02</v>
      </c>
      <c r="U64" s="436">
        <f t="shared" si="1"/>
        <v>112.18010000000001</v>
      </c>
    </row>
    <row r="65" spans="1:21" s="316" customFormat="1" ht="52.5" customHeight="1">
      <c r="A65" s="337" t="s">
        <v>372</v>
      </c>
      <c r="B65" s="364"/>
      <c r="C65" s="363" t="s">
        <v>373</v>
      </c>
      <c r="D65" s="331" t="s">
        <v>257</v>
      </c>
      <c r="E65" s="331" t="s">
        <v>265</v>
      </c>
      <c r="F65" s="331" t="s">
        <v>360</v>
      </c>
      <c r="G65" s="331" t="s">
        <v>371</v>
      </c>
      <c r="H65" s="331" t="s">
        <v>374</v>
      </c>
      <c r="I65" s="331" t="s">
        <v>8</v>
      </c>
      <c r="J65" s="331" t="s">
        <v>258</v>
      </c>
      <c r="K65" s="331" t="s">
        <v>363</v>
      </c>
      <c r="L65" s="365">
        <v>20000</v>
      </c>
      <c r="M65" s="321"/>
      <c r="N65" s="321"/>
      <c r="O65" s="321"/>
      <c r="P65" s="321"/>
      <c r="Q65" s="321"/>
      <c r="R65" s="322"/>
      <c r="S65" s="322" t="e">
        <f>#REF!=SUM(L65:R65)</f>
        <v>#REF!</v>
      </c>
      <c r="T65" s="365">
        <v>12600</v>
      </c>
      <c r="U65" s="436">
        <f>T65/L65*100</f>
        <v>63</v>
      </c>
    </row>
    <row r="66" spans="1:21" s="316" customFormat="1" ht="32.25" customHeight="1">
      <c r="A66" s="337" t="s">
        <v>375</v>
      </c>
      <c r="B66" s="320"/>
      <c r="C66" s="366" t="s">
        <v>376</v>
      </c>
      <c r="D66" s="331" t="s">
        <v>301</v>
      </c>
      <c r="E66" s="331" t="s">
        <v>265</v>
      </c>
      <c r="F66" s="331" t="s">
        <v>360</v>
      </c>
      <c r="G66" s="331" t="s">
        <v>377</v>
      </c>
      <c r="H66" s="331" t="s">
        <v>257</v>
      </c>
      <c r="I66" s="331" t="s">
        <v>8</v>
      </c>
      <c r="J66" s="331" t="s">
        <v>258</v>
      </c>
      <c r="K66" s="331" t="s">
        <v>363</v>
      </c>
      <c r="L66" s="367">
        <v>110000</v>
      </c>
      <c r="M66" s="321"/>
      <c r="N66" s="321"/>
      <c r="O66" s="321"/>
      <c r="P66" s="321"/>
      <c r="Q66" s="321"/>
      <c r="R66" s="322"/>
      <c r="S66" s="322" t="e">
        <f>#REF!=SUM(L66:R66)</f>
        <v>#REF!</v>
      </c>
      <c r="T66" s="367">
        <v>124430</v>
      </c>
      <c r="U66" s="436">
        <f t="shared" si="1"/>
        <v>113.11818181818182</v>
      </c>
    </row>
    <row r="67" spans="1:21" s="316" customFormat="1" ht="51.75" customHeight="1">
      <c r="A67" s="337"/>
      <c r="B67" s="320"/>
      <c r="C67" s="366" t="s">
        <v>591</v>
      </c>
      <c r="D67" s="331" t="s">
        <v>301</v>
      </c>
      <c r="E67" s="331" t="s">
        <v>265</v>
      </c>
      <c r="F67" s="331" t="s">
        <v>360</v>
      </c>
      <c r="G67" s="331" t="s">
        <v>68</v>
      </c>
      <c r="H67" s="331" t="s">
        <v>457</v>
      </c>
      <c r="I67" s="331" t="s">
        <v>8</v>
      </c>
      <c r="J67" s="331" t="s">
        <v>258</v>
      </c>
      <c r="K67" s="331" t="s">
        <v>363</v>
      </c>
      <c r="L67" s="367"/>
      <c r="M67" s="321"/>
      <c r="N67" s="321"/>
      <c r="O67" s="321"/>
      <c r="P67" s="321"/>
      <c r="Q67" s="321"/>
      <c r="R67" s="322"/>
      <c r="S67" s="322"/>
      <c r="T67" s="367">
        <v>2000</v>
      </c>
      <c r="U67" s="436"/>
    </row>
    <row r="68" spans="1:21" s="316" customFormat="1" ht="23.25" customHeight="1">
      <c r="A68" s="337"/>
      <c r="B68" s="320"/>
      <c r="C68" s="368" t="s">
        <v>378</v>
      </c>
      <c r="D68" s="331" t="s">
        <v>257</v>
      </c>
      <c r="E68" s="331" t="s">
        <v>265</v>
      </c>
      <c r="F68" s="331" t="s">
        <v>360</v>
      </c>
      <c r="G68" s="331" t="s">
        <v>379</v>
      </c>
      <c r="H68" s="331" t="s">
        <v>257</v>
      </c>
      <c r="I68" s="331" t="s">
        <v>8</v>
      </c>
      <c r="J68" s="331" t="s">
        <v>258</v>
      </c>
      <c r="K68" s="331" t="s">
        <v>363</v>
      </c>
      <c r="L68" s="369">
        <v>350000</v>
      </c>
      <c r="M68" s="321"/>
      <c r="N68" s="321"/>
      <c r="O68" s="321"/>
      <c r="P68" s="321"/>
      <c r="Q68" s="321"/>
      <c r="R68" s="322"/>
      <c r="S68" s="322"/>
      <c r="T68" s="369">
        <v>438302.54</v>
      </c>
      <c r="U68" s="436">
        <f t="shared" si="1"/>
        <v>125.22929714285713</v>
      </c>
    </row>
    <row r="69" spans="1:21" s="316" customFormat="1" ht="52.5" customHeight="1">
      <c r="A69" s="337"/>
      <c r="B69" s="320"/>
      <c r="C69" s="368" t="s">
        <v>380</v>
      </c>
      <c r="D69" s="331" t="s">
        <v>63</v>
      </c>
      <c r="E69" s="331" t="s">
        <v>265</v>
      </c>
      <c r="F69" s="331" t="s">
        <v>360</v>
      </c>
      <c r="G69" s="331" t="s">
        <v>381</v>
      </c>
      <c r="H69" s="331" t="s">
        <v>272</v>
      </c>
      <c r="I69" s="331" t="s">
        <v>16</v>
      </c>
      <c r="J69" s="331" t="s">
        <v>382</v>
      </c>
      <c r="K69" s="331" t="s">
        <v>363</v>
      </c>
      <c r="L69" s="369">
        <v>12000</v>
      </c>
      <c r="M69" s="321"/>
      <c r="N69" s="321"/>
      <c r="O69" s="321"/>
      <c r="P69" s="321"/>
      <c r="Q69" s="321"/>
      <c r="R69" s="322"/>
      <c r="S69" s="322"/>
      <c r="T69" s="369">
        <v>8310.95</v>
      </c>
      <c r="U69" s="436">
        <f t="shared" si="1"/>
        <v>69.25791666666667</v>
      </c>
    </row>
    <row r="70" spans="1:21" ht="39.75" customHeight="1">
      <c r="A70" s="337" t="s">
        <v>383</v>
      </c>
      <c r="B70" s="320"/>
      <c r="C70" s="397" t="s">
        <v>384</v>
      </c>
      <c r="D70" s="331" t="s">
        <v>257</v>
      </c>
      <c r="E70" s="331" t="s">
        <v>265</v>
      </c>
      <c r="F70" s="331" t="s">
        <v>360</v>
      </c>
      <c r="G70" s="331" t="s">
        <v>385</v>
      </c>
      <c r="H70" s="331" t="s">
        <v>257</v>
      </c>
      <c r="I70" s="331" t="s">
        <v>33</v>
      </c>
      <c r="J70" s="331" t="s">
        <v>258</v>
      </c>
      <c r="K70" s="331" t="s">
        <v>363</v>
      </c>
      <c r="L70" s="371">
        <f>L71</f>
        <v>800000</v>
      </c>
      <c r="M70" s="303" t="e">
        <f aca="true" t="shared" si="7" ref="M70:R70">M72</f>
        <v>#REF!</v>
      </c>
      <c r="N70" s="303" t="e">
        <f t="shared" si="7"/>
        <v>#REF!</v>
      </c>
      <c r="O70" s="303" t="e">
        <f t="shared" si="7"/>
        <v>#REF!</v>
      </c>
      <c r="P70" s="303" t="e">
        <f t="shared" si="7"/>
        <v>#REF!</v>
      </c>
      <c r="Q70" s="303" t="e">
        <f t="shared" si="7"/>
        <v>#REF!</v>
      </c>
      <c r="R70" s="370" t="e">
        <f t="shared" si="7"/>
        <v>#REF!</v>
      </c>
      <c r="S70" s="370" t="e">
        <f>#REF!=SUM(L70:R70)</f>
        <v>#REF!</v>
      </c>
      <c r="T70" s="371">
        <f>T71</f>
        <v>814392.81</v>
      </c>
      <c r="U70" s="436">
        <f t="shared" si="1"/>
        <v>101.79910125</v>
      </c>
    </row>
    <row r="71" spans="1:21" ht="48" customHeight="1">
      <c r="A71" s="372" t="s">
        <v>386</v>
      </c>
      <c r="B71" s="320"/>
      <c r="C71" s="373" t="s">
        <v>387</v>
      </c>
      <c r="D71" s="343" t="s">
        <v>257</v>
      </c>
      <c r="E71" s="343" t="s">
        <v>265</v>
      </c>
      <c r="F71" s="343" t="s">
        <v>360</v>
      </c>
      <c r="G71" s="343" t="s">
        <v>385</v>
      </c>
      <c r="H71" s="343" t="s">
        <v>312</v>
      </c>
      <c r="I71" s="343" t="s">
        <v>15</v>
      </c>
      <c r="J71" s="343" t="s">
        <v>258</v>
      </c>
      <c r="K71" s="343" t="s">
        <v>363</v>
      </c>
      <c r="L71" s="319">
        <v>800000</v>
      </c>
      <c r="M71" s="303"/>
      <c r="N71" s="303"/>
      <c r="O71" s="303"/>
      <c r="P71" s="303"/>
      <c r="Q71" s="303"/>
      <c r="R71" s="370"/>
      <c r="S71" s="370"/>
      <c r="T71" s="319">
        <v>814392.81</v>
      </c>
      <c r="U71" s="436">
        <f t="shared" si="1"/>
        <v>101.79910125</v>
      </c>
    </row>
    <row r="72" spans="1:21" ht="37.5" customHeight="1">
      <c r="A72" s="374" t="s">
        <v>388</v>
      </c>
      <c r="B72" s="320"/>
      <c r="C72" s="340" t="s">
        <v>389</v>
      </c>
      <c r="D72" s="489" t="s">
        <v>257</v>
      </c>
      <c r="E72" s="489" t="s">
        <v>265</v>
      </c>
      <c r="F72" s="489" t="s">
        <v>390</v>
      </c>
      <c r="G72" s="489" t="s">
        <v>33</v>
      </c>
      <c r="H72" s="489" t="s">
        <v>257</v>
      </c>
      <c r="I72" s="489" t="s">
        <v>33</v>
      </c>
      <c r="J72" s="489" t="s">
        <v>258</v>
      </c>
      <c r="K72" s="489" t="s">
        <v>257</v>
      </c>
      <c r="L72" s="375">
        <f>L73+L74</f>
        <v>283560.9</v>
      </c>
      <c r="M72" s="308" t="e">
        <f>M73+M83+#REF!+#REF!</f>
        <v>#REF!</v>
      </c>
      <c r="N72" s="308" t="e">
        <f>N73+N83+#REF!+#REF!</f>
        <v>#REF!</v>
      </c>
      <c r="O72" s="308" t="e">
        <f>O73+O83+#REF!+#REF!</f>
        <v>#REF!</v>
      </c>
      <c r="P72" s="308" t="e">
        <f>P73+P83+#REF!+#REF!</f>
        <v>#REF!</v>
      </c>
      <c r="Q72" s="308" t="e">
        <f>Q73+Q83+#REF!+#REF!</f>
        <v>#REF!</v>
      </c>
      <c r="R72" s="309" t="e">
        <f>R73+R83+#REF!+#REF!</f>
        <v>#REF!</v>
      </c>
      <c r="S72" s="309" t="e">
        <f>#REF!=SUM(L72:R72)</f>
        <v>#REF!</v>
      </c>
      <c r="T72" s="375">
        <f>T73+T74</f>
        <v>205916.86000000002</v>
      </c>
      <c r="U72" s="436">
        <f t="shared" si="1"/>
        <v>72.61821358304336</v>
      </c>
    </row>
    <row r="73" spans="1:21" ht="30.75" customHeight="1">
      <c r="A73" s="374"/>
      <c r="B73" s="376"/>
      <c r="C73" s="397" t="s">
        <v>391</v>
      </c>
      <c r="D73" s="331" t="s">
        <v>257</v>
      </c>
      <c r="E73" s="331" t="s">
        <v>265</v>
      </c>
      <c r="F73" s="331" t="s">
        <v>390</v>
      </c>
      <c r="G73" s="331" t="s">
        <v>8</v>
      </c>
      <c r="H73" s="331" t="s">
        <v>312</v>
      </c>
      <c r="I73" s="331" t="s">
        <v>15</v>
      </c>
      <c r="J73" s="331" t="s">
        <v>258</v>
      </c>
      <c r="K73" s="331" t="s">
        <v>392</v>
      </c>
      <c r="L73" s="327">
        <v>0</v>
      </c>
      <c r="M73" s="314">
        <f aca="true" t="shared" si="8" ref="M73:R73">SUM(M74:M75)</f>
        <v>0</v>
      </c>
      <c r="N73" s="314">
        <f t="shared" si="8"/>
        <v>0</v>
      </c>
      <c r="O73" s="314">
        <f t="shared" si="8"/>
        <v>0</v>
      </c>
      <c r="P73" s="314">
        <f t="shared" si="8"/>
        <v>0</v>
      </c>
      <c r="Q73" s="314">
        <f t="shared" si="8"/>
        <v>0</v>
      </c>
      <c r="R73" s="315">
        <f t="shared" si="8"/>
        <v>0</v>
      </c>
      <c r="S73" s="315" t="e">
        <f>#REF!=SUM(L73:R73)</f>
        <v>#REF!</v>
      </c>
      <c r="T73" s="327">
        <v>14066.44</v>
      </c>
      <c r="U73" s="436" t="e">
        <f t="shared" si="1"/>
        <v>#DIV/0!</v>
      </c>
    </row>
    <row r="74" spans="1:21" ht="18.75" customHeight="1">
      <c r="A74" s="337" t="s">
        <v>393</v>
      </c>
      <c r="B74" s="376"/>
      <c r="C74" s="397" t="s">
        <v>394</v>
      </c>
      <c r="D74" s="331" t="s">
        <v>257</v>
      </c>
      <c r="E74" s="331" t="s">
        <v>265</v>
      </c>
      <c r="F74" s="331" t="s">
        <v>390</v>
      </c>
      <c r="G74" s="331" t="s">
        <v>15</v>
      </c>
      <c r="H74" s="331" t="s">
        <v>257</v>
      </c>
      <c r="I74" s="331" t="s">
        <v>33</v>
      </c>
      <c r="J74" s="331" t="s">
        <v>258</v>
      </c>
      <c r="K74" s="331" t="s">
        <v>257</v>
      </c>
      <c r="L74" s="371">
        <f>L75</f>
        <v>283560.9</v>
      </c>
      <c r="M74" s="321"/>
      <c r="N74" s="321"/>
      <c r="O74" s="321"/>
      <c r="P74" s="321"/>
      <c r="Q74" s="321"/>
      <c r="R74" s="322"/>
      <c r="S74" s="322" t="e">
        <f>#REF!=SUM(L74:R74)</f>
        <v>#REF!</v>
      </c>
      <c r="T74" s="371">
        <f>T75</f>
        <v>191850.42</v>
      </c>
      <c r="U74" s="436">
        <f t="shared" si="1"/>
        <v>67.65757197131198</v>
      </c>
    </row>
    <row r="75" spans="1:21" ht="21" customHeight="1">
      <c r="A75" s="372" t="s">
        <v>395</v>
      </c>
      <c r="B75" s="356"/>
      <c r="C75" s="361" t="s">
        <v>396</v>
      </c>
      <c r="D75" s="324" t="s">
        <v>257</v>
      </c>
      <c r="E75" s="324" t="s">
        <v>265</v>
      </c>
      <c r="F75" s="324" t="s">
        <v>390</v>
      </c>
      <c r="G75" s="324" t="s">
        <v>15</v>
      </c>
      <c r="H75" s="324" t="s">
        <v>312</v>
      </c>
      <c r="I75" s="324" t="s">
        <v>15</v>
      </c>
      <c r="J75" s="324" t="s">
        <v>258</v>
      </c>
      <c r="K75" s="324" t="s">
        <v>392</v>
      </c>
      <c r="L75" s="319">
        <v>283560.9</v>
      </c>
      <c r="M75" s="321"/>
      <c r="N75" s="321"/>
      <c r="O75" s="321"/>
      <c r="P75" s="321"/>
      <c r="Q75" s="321"/>
      <c r="R75" s="322"/>
      <c r="S75" s="322" t="e">
        <f>#REF!=SUM(L75:R75)</f>
        <v>#REF!</v>
      </c>
      <c r="T75" s="319">
        <v>191850.42</v>
      </c>
      <c r="U75" s="436">
        <f t="shared" si="1"/>
        <v>67.65757197131198</v>
      </c>
    </row>
    <row r="76" spans="1:21" ht="22.5" customHeight="1">
      <c r="A76" s="301" t="s">
        <v>397</v>
      </c>
      <c r="B76" s="320"/>
      <c r="C76" s="476" t="s">
        <v>398</v>
      </c>
      <c r="D76" s="477" t="s">
        <v>257</v>
      </c>
      <c r="E76" s="478" t="s">
        <v>399</v>
      </c>
      <c r="F76" s="478" t="s">
        <v>33</v>
      </c>
      <c r="G76" s="478" t="s">
        <v>33</v>
      </c>
      <c r="H76" s="478" t="s">
        <v>257</v>
      </c>
      <c r="I76" s="478" t="s">
        <v>33</v>
      </c>
      <c r="J76" s="478" t="s">
        <v>258</v>
      </c>
      <c r="K76" s="478" t="s">
        <v>257</v>
      </c>
      <c r="L76" s="302">
        <f>L77+L112+L114+L116</f>
        <v>362690576.72</v>
      </c>
      <c r="M76" s="321"/>
      <c r="N76" s="321"/>
      <c r="O76" s="321"/>
      <c r="P76" s="321"/>
      <c r="Q76" s="321"/>
      <c r="R76" s="322"/>
      <c r="S76" s="322"/>
      <c r="T76" s="302">
        <f>T77+T112+T114+T116</f>
        <v>320705515.32</v>
      </c>
      <c r="U76" s="436">
        <f t="shared" si="1"/>
        <v>88.42399993413316</v>
      </c>
    </row>
    <row r="77" spans="1:21" ht="22.5" customHeight="1">
      <c r="A77" s="306" t="s">
        <v>259</v>
      </c>
      <c r="B77" s="311"/>
      <c r="C77" s="340" t="s">
        <v>400</v>
      </c>
      <c r="D77" s="479" t="s">
        <v>257</v>
      </c>
      <c r="E77" s="341" t="s">
        <v>399</v>
      </c>
      <c r="F77" s="341" t="s">
        <v>16</v>
      </c>
      <c r="G77" s="341" t="s">
        <v>33</v>
      </c>
      <c r="H77" s="341" t="s">
        <v>257</v>
      </c>
      <c r="I77" s="341" t="s">
        <v>33</v>
      </c>
      <c r="J77" s="341" t="s">
        <v>258</v>
      </c>
      <c r="K77" s="341" t="s">
        <v>257</v>
      </c>
      <c r="L77" s="307">
        <f>L78+L81+L91+L104</f>
        <v>368974839.73</v>
      </c>
      <c r="M77" s="321"/>
      <c r="N77" s="321"/>
      <c r="O77" s="321"/>
      <c r="P77" s="321"/>
      <c r="Q77" s="321"/>
      <c r="R77" s="322"/>
      <c r="S77" s="322"/>
      <c r="T77" s="307">
        <f>T78+T81+T91+T104</f>
        <v>326970123.33</v>
      </c>
      <c r="U77" s="436">
        <f t="shared" si="1"/>
        <v>88.61583179201669</v>
      </c>
    </row>
    <row r="78" spans="1:21" ht="19.5" customHeight="1">
      <c r="A78" s="311" t="s">
        <v>261</v>
      </c>
      <c r="B78" s="320"/>
      <c r="C78" s="397" t="s">
        <v>401</v>
      </c>
      <c r="D78" s="331" t="s">
        <v>257</v>
      </c>
      <c r="E78" s="331" t="s">
        <v>399</v>
      </c>
      <c r="F78" s="331" t="s">
        <v>16</v>
      </c>
      <c r="G78" s="331" t="s">
        <v>8</v>
      </c>
      <c r="H78" s="331" t="s">
        <v>257</v>
      </c>
      <c r="I78" s="331" t="s">
        <v>33</v>
      </c>
      <c r="J78" s="331" t="s">
        <v>258</v>
      </c>
      <c r="K78" s="331" t="s">
        <v>402</v>
      </c>
      <c r="L78" s="313">
        <f>L79</f>
        <v>14250000</v>
      </c>
      <c r="M78" s="321"/>
      <c r="N78" s="321"/>
      <c r="O78" s="321"/>
      <c r="P78" s="321"/>
      <c r="Q78" s="321"/>
      <c r="R78" s="322"/>
      <c r="S78" s="322"/>
      <c r="T78" s="313">
        <f>T79</f>
        <v>14250000</v>
      </c>
      <c r="U78" s="436">
        <f t="shared" si="1"/>
        <v>100</v>
      </c>
    </row>
    <row r="79" spans="1:21" ht="36.75" customHeight="1">
      <c r="A79" s="377" t="s">
        <v>403</v>
      </c>
      <c r="B79" s="320"/>
      <c r="C79" s="378" t="s">
        <v>404</v>
      </c>
      <c r="D79" s="386" t="s">
        <v>257</v>
      </c>
      <c r="E79" s="386" t="s">
        <v>399</v>
      </c>
      <c r="F79" s="386" t="s">
        <v>16</v>
      </c>
      <c r="G79" s="386" t="s">
        <v>8</v>
      </c>
      <c r="H79" s="386" t="s">
        <v>31</v>
      </c>
      <c r="I79" s="386" t="s">
        <v>33</v>
      </c>
      <c r="J79" s="386" t="s">
        <v>258</v>
      </c>
      <c r="K79" s="386" t="s">
        <v>402</v>
      </c>
      <c r="L79" s="379">
        <f>L80</f>
        <v>14250000</v>
      </c>
      <c r="M79" s="321"/>
      <c r="N79" s="321"/>
      <c r="O79" s="321"/>
      <c r="P79" s="321"/>
      <c r="Q79" s="321"/>
      <c r="R79" s="322"/>
      <c r="S79" s="322"/>
      <c r="T79" s="379">
        <f>T80</f>
        <v>14250000</v>
      </c>
      <c r="U79" s="436">
        <f aca="true" t="shared" si="9" ref="U79:U118">T79/L79*100</f>
        <v>100</v>
      </c>
    </row>
    <row r="80" spans="1:21" ht="42" customHeight="1">
      <c r="A80" s="311"/>
      <c r="B80" s="320"/>
      <c r="C80" s="329" t="s">
        <v>405</v>
      </c>
      <c r="D80" s="343" t="s">
        <v>257</v>
      </c>
      <c r="E80" s="343" t="s">
        <v>399</v>
      </c>
      <c r="F80" s="343" t="s">
        <v>16</v>
      </c>
      <c r="G80" s="343" t="s">
        <v>8</v>
      </c>
      <c r="H80" s="343" t="s">
        <v>31</v>
      </c>
      <c r="I80" s="343" t="s">
        <v>15</v>
      </c>
      <c r="J80" s="343" t="s">
        <v>258</v>
      </c>
      <c r="K80" s="343" t="s">
        <v>402</v>
      </c>
      <c r="L80" s="319">
        <v>14250000</v>
      </c>
      <c r="M80" s="321"/>
      <c r="N80" s="321"/>
      <c r="O80" s="321"/>
      <c r="P80" s="321"/>
      <c r="Q80" s="321"/>
      <c r="R80" s="322"/>
      <c r="S80" s="322"/>
      <c r="T80" s="319">
        <v>14250000</v>
      </c>
      <c r="U80" s="436">
        <f t="shared" si="9"/>
        <v>100</v>
      </c>
    </row>
    <row r="81" spans="1:21" ht="21" customHeight="1">
      <c r="A81" s="311" t="s">
        <v>406</v>
      </c>
      <c r="B81" s="320"/>
      <c r="C81" s="397" t="s">
        <v>407</v>
      </c>
      <c r="D81" s="331" t="s">
        <v>257</v>
      </c>
      <c r="E81" s="331" t="s">
        <v>399</v>
      </c>
      <c r="F81" s="331" t="s">
        <v>16</v>
      </c>
      <c r="G81" s="331" t="s">
        <v>16</v>
      </c>
      <c r="H81" s="331" t="s">
        <v>257</v>
      </c>
      <c r="I81" s="331" t="s">
        <v>33</v>
      </c>
      <c r="J81" s="331" t="s">
        <v>258</v>
      </c>
      <c r="K81" s="331" t="s">
        <v>402</v>
      </c>
      <c r="L81" s="313">
        <f>SUM(L82:L89)</f>
        <v>134915939.73000002</v>
      </c>
      <c r="M81" s="321"/>
      <c r="N81" s="321"/>
      <c r="O81" s="321"/>
      <c r="P81" s="321"/>
      <c r="Q81" s="321"/>
      <c r="R81" s="322"/>
      <c r="S81" s="322"/>
      <c r="T81" s="313">
        <f>SUM(T82:T89)</f>
        <v>95547856.33</v>
      </c>
      <c r="U81" s="436">
        <f t="shared" si="9"/>
        <v>70.82028744803227</v>
      </c>
    </row>
    <row r="82" spans="1:21" ht="37.5" customHeight="1">
      <c r="A82" s="311"/>
      <c r="B82" s="320"/>
      <c r="C82" s="323" t="s">
        <v>519</v>
      </c>
      <c r="D82" s="324" t="s">
        <v>257</v>
      </c>
      <c r="E82" s="324" t="s">
        <v>399</v>
      </c>
      <c r="F82" s="324" t="s">
        <v>16</v>
      </c>
      <c r="G82" s="324" t="s">
        <v>16</v>
      </c>
      <c r="H82" s="324" t="s">
        <v>520</v>
      </c>
      <c r="I82" s="324" t="s">
        <v>15</v>
      </c>
      <c r="J82" s="324" t="s">
        <v>258</v>
      </c>
      <c r="K82" s="324" t="s">
        <v>402</v>
      </c>
      <c r="L82" s="319">
        <f>2213337+200000</f>
        <v>2413337</v>
      </c>
      <c r="M82" s="321"/>
      <c r="N82" s="321"/>
      <c r="O82" s="321"/>
      <c r="P82" s="321"/>
      <c r="Q82" s="321"/>
      <c r="R82" s="322"/>
      <c r="S82" s="322"/>
      <c r="T82" s="319">
        <v>1796666</v>
      </c>
      <c r="U82" s="436">
        <f t="shared" si="9"/>
        <v>74.4473730771956</v>
      </c>
    </row>
    <row r="83" spans="1:21" ht="38.25" customHeight="1">
      <c r="A83" s="311"/>
      <c r="B83" s="311"/>
      <c r="C83" s="323" t="s">
        <v>408</v>
      </c>
      <c r="D83" s="324" t="s">
        <v>257</v>
      </c>
      <c r="E83" s="324" t="s">
        <v>399</v>
      </c>
      <c r="F83" s="324" t="s">
        <v>16</v>
      </c>
      <c r="G83" s="324" t="s">
        <v>16</v>
      </c>
      <c r="H83" s="324" t="s">
        <v>409</v>
      </c>
      <c r="I83" s="324" t="s">
        <v>15</v>
      </c>
      <c r="J83" s="324" t="s">
        <v>258</v>
      </c>
      <c r="K83" s="324" t="s">
        <v>402</v>
      </c>
      <c r="L83" s="319">
        <v>9270000</v>
      </c>
      <c r="M83" s="314" t="e">
        <f>#REF!+#REF!</f>
        <v>#REF!</v>
      </c>
      <c r="N83" s="314" t="e">
        <f>#REF!+#REF!</f>
        <v>#REF!</v>
      </c>
      <c r="O83" s="314" t="e">
        <f>#REF!+#REF!</f>
        <v>#REF!</v>
      </c>
      <c r="P83" s="314" t="e">
        <f>#REF!+#REF!</f>
        <v>#REF!</v>
      </c>
      <c r="Q83" s="314" t="e">
        <f>#REF!+#REF!</f>
        <v>#REF!</v>
      </c>
      <c r="R83" s="315" t="e">
        <f>#REF!+#REF!</f>
        <v>#REF!</v>
      </c>
      <c r="S83" s="315" t="e">
        <f>#REF!=SUM(L83:R83)</f>
        <v>#REF!</v>
      </c>
      <c r="T83" s="319">
        <v>8875630.49</v>
      </c>
      <c r="U83" s="436">
        <f t="shared" si="9"/>
        <v>95.74574422869472</v>
      </c>
    </row>
    <row r="84" spans="1:21" ht="38.25" customHeight="1">
      <c r="A84" s="311"/>
      <c r="B84" s="380"/>
      <c r="C84" s="323" t="s">
        <v>410</v>
      </c>
      <c r="D84" s="324" t="s">
        <v>257</v>
      </c>
      <c r="E84" s="324" t="s">
        <v>399</v>
      </c>
      <c r="F84" s="324" t="s">
        <v>16</v>
      </c>
      <c r="G84" s="324" t="s">
        <v>16</v>
      </c>
      <c r="H84" s="324" t="s">
        <v>411</v>
      </c>
      <c r="I84" s="324" t="s">
        <v>15</v>
      </c>
      <c r="J84" s="324" t="s">
        <v>258</v>
      </c>
      <c r="K84" s="324" t="s">
        <v>402</v>
      </c>
      <c r="L84" s="319">
        <f>7060938.91+130000+2479537.62</f>
        <v>9670476.530000001</v>
      </c>
      <c r="M84" s="314"/>
      <c r="N84" s="314"/>
      <c r="O84" s="314"/>
      <c r="P84" s="314"/>
      <c r="Q84" s="314"/>
      <c r="R84" s="315"/>
      <c r="S84" s="315"/>
      <c r="T84" s="319">
        <v>7965312.13</v>
      </c>
      <c r="U84" s="436">
        <f t="shared" si="9"/>
        <v>82.36731773547874</v>
      </c>
    </row>
    <row r="85" spans="1:21" ht="24" customHeight="1">
      <c r="A85" s="311"/>
      <c r="B85" s="381"/>
      <c r="C85" s="342" t="s">
        <v>412</v>
      </c>
      <c r="D85" s="324" t="s">
        <v>257</v>
      </c>
      <c r="E85" s="324" t="s">
        <v>399</v>
      </c>
      <c r="F85" s="324" t="s">
        <v>16</v>
      </c>
      <c r="G85" s="324" t="s">
        <v>16</v>
      </c>
      <c r="H85" s="324" t="s">
        <v>413</v>
      </c>
      <c r="I85" s="324" t="s">
        <v>15</v>
      </c>
      <c r="J85" s="324" t="s">
        <v>258</v>
      </c>
      <c r="K85" s="324" t="s">
        <v>402</v>
      </c>
      <c r="L85" s="319">
        <v>55138000</v>
      </c>
      <c r="M85" s="314"/>
      <c r="N85" s="314"/>
      <c r="O85" s="314"/>
      <c r="P85" s="314"/>
      <c r="Q85" s="314"/>
      <c r="R85" s="315"/>
      <c r="S85" s="315"/>
      <c r="T85" s="319">
        <v>32687633.52</v>
      </c>
      <c r="U85" s="436">
        <f t="shared" si="9"/>
        <v>59.28331372193405</v>
      </c>
    </row>
    <row r="86" spans="1:21" ht="35.25" customHeight="1" thickBot="1">
      <c r="A86" s="311"/>
      <c r="B86" s="381"/>
      <c r="C86" s="348" t="s">
        <v>414</v>
      </c>
      <c r="D86" s="386" t="s">
        <v>257</v>
      </c>
      <c r="E86" s="386" t="s">
        <v>399</v>
      </c>
      <c r="F86" s="386" t="s">
        <v>16</v>
      </c>
      <c r="G86" s="386" t="s">
        <v>16</v>
      </c>
      <c r="H86" s="386" t="s">
        <v>415</v>
      </c>
      <c r="I86" s="386" t="s">
        <v>15</v>
      </c>
      <c r="J86" s="386" t="s">
        <v>416</v>
      </c>
      <c r="K86" s="386" t="s">
        <v>402</v>
      </c>
      <c r="L86" s="327">
        <v>10287526.2</v>
      </c>
      <c r="M86" s="314"/>
      <c r="N86" s="314"/>
      <c r="O86" s="314"/>
      <c r="P86" s="314"/>
      <c r="Q86" s="314"/>
      <c r="R86" s="315"/>
      <c r="S86" s="315"/>
      <c r="T86" s="327"/>
      <c r="U86" s="436">
        <f t="shared" si="9"/>
        <v>0</v>
      </c>
    </row>
    <row r="87" spans="1:21" ht="70.5" customHeight="1" thickBot="1">
      <c r="A87" s="311"/>
      <c r="B87" s="382"/>
      <c r="C87" s="325" t="s">
        <v>417</v>
      </c>
      <c r="D87" s="324" t="s">
        <v>257</v>
      </c>
      <c r="E87" s="324" t="s">
        <v>399</v>
      </c>
      <c r="F87" s="324" t="s">
        <v>16</v>
      </c>
      <c r="G87" s="324" t="s">
        <v>16</v>
      </c>
      <c r="H87" s="324" t="s">
        <v>418</v>
      </c>
      <c r="I87" s="324" t="s">
        <v>15</v>
      </c>
      <c r="J87" s="324" t="s">
        <v>416</v>
      </c>
      <c r="K87" s="324" t="s">
        <v>402</v>
      </c>
      <c r="L87" s="327"/>
      <c r="M87" s="321"/>
      <c r="N87" s="321"/>
      <c r="O87" s="321"/>
      <c r="P87" s="321"/>
      <c r="Q87" s="321"/>
      <c r="R87" s="322"/>
      <c r="S87" s="322"/>
      <c r="T87" s="327"/>
      <c r="U87" s="436" t="e">
        <f t="shared" si="9"/>
        <v>#DIV/0!</v>
      </c>
    </row>
    <row r="88" spans="1:21" ht="57.75" customHeight="1">
      <c r="A88" s="311"/>
      <c r="B88" s="383"/>
      <c r="C88" s="325" t="s">
        <v>419</v>
      </c>
      <c r="D88" s="324" t="s">
        <v>257</v>
      </c>
      <c r="E88" s="324" t="s">
        <v>399</v>
      </c>
      <c r="F88" s="324" t="s">
        <v>16</v>
      </c>
      <c r="G88" s="324" t="s">
        <v>16</v>
      </c>
      <c r="H88" s="324" t="s">
        <v>420</v>
      </c>
      <c r="I88" s="324" t="s">
        <v>15</v>
      </c>
      <c r="J88" s="324" t="s">
        <v>416</v>
      </c>
      <c r="K88" s="324" t="s">
        <v>402</v>
      </c>
      <c r="L88" s="327">
        <v>7355900</v>
      </c>
      <c r="M88" s="321"/>
      <c r="N88" s="321"/>
      <c r="O88" s="321"/>
      <c r="P88" s="321"/>
      <c r="Q88" s="321"/>
      <c r="R88" s="322"/>
      <c r="S88" s="322"/>
      <c r="T88" s="327">
        <v>7355900</v>
      </c>
      <c r="U88" s="436">
        <f t="shared" si="9"/>
        <v>100</v>
      </c>
    </row>
    <row r="89" spans="1:21" ht="46.5" customHeight="1">
      <c r="A89" s="377" t="s">
        <v>421</v>
      </c>
      <c r="B89" s="294"/>
      <c r="C89" s="384" t="s">
        <v>422</v>
      </c>
      <c r="D89" s="386" t="s">
        <v>257</v>
      </c>
      <c r="E89" s="386" t="s">
        <v>399</v>
      </c>
      <c r="F89" s="386" t="s">
        <v>16</v>
      </c>
      <c r="G89" s="386" t="s">
        <v>16</v>
      </c>
      <c r="H89" s="386" t="s">
        <v>423</v>
      </c>
      <c r="I89" s="386" t="s">
        <v>33</v>
      </c>
      <c r="J89" s="386" t="s">
        <v>258</v>
      </c>
      <c r="K89" s="386" t="s">
        <v>402</v>
      </c>
      <c r="L89" s="379">
        <f>L90</f>
        <v>40780700</v>
      </c>
      <c r="M89" s="321"/>
      <c r="N89" s="321"/>
      <c r="O89" s="321"/>
      <c r="P89" s="321"/>
      <c r="Q89" s="321"/>
      <c r="R89" s="322"/>
      <c r="S89" s="322"/>
      <c r="T89" s="379">
        <f>T90</f>
        <v>36866714.19</v>
      </c>
      <c r="U89" s="436">
        <f t="shared" si="9"/>
        <v>90.40235746321176</v>
      </c>
    </row>
    <row r="90" spans="1:21" ht="24.75" customHeight="1">
      <c r="A90" s="311"/>
      <c r="B90" s="294"/>
      <c r="C90" s="385" t="s">
        <v>424</v>
      </c>
      <c r="D90" s="324" t="s">
        <v>257</v>
      </c>
      <c r="E90" s="324" t="s">
        <v>399</v>
      </c>
      <c r="F90" s="324" t="s">
        <v>16</v>
      </c>
      <c r="G90" s="324" t="s">
        <v>16</v>
      </c>
      <c r="H90" s="324" t="s">
        <v>423</v>
      </c>
      <c r="I90" s="324" t="s">
        <v>15</v>
      </c>
      <c r="J90" s="324" t="s">
        <v>258</v>
      </c>
      <c r="K90" s="324" t="s">
        <v>402</v>
      </c>
      <c r="L90" s="327">
        <v>40780700</v>
      </c>
      <c r="M90" s="321"/>
      <c r="N90" s="321"/>
      <c r="O90" s="321"/>
      <c r="P90" s="321"/>
      <c r="Q90" s="321"/>
      <c r="R90" s="322"/>
      <c r="S90" s="322"/>
      <c r="T90" s="327">
        <v>36866714.19</v>
      </c>
      <c r="U90" s="436">
        <f t="shared" si="9"/>
        <v>90.40235746321176</v>
      </c>
    </row>
    <row r="91" spans="1:21" ht="27" customHeight="1">
      <c r="A91" s="311" t="s">
        <v>425</v>
      </c>
      <c r="B91" s="294"/>
      <c r="C91" s="397" t="s">
        <v>426</v>
      </c>
      <c r="D91" s="331" t="s">
        <v>257</v>
      </c>
      <c r="E91" s="331" t="s">
        <v>399</v>
      </c>
      <c r="F91" s="331" t="s">
        <v>16</v>
      </c>
      <c r="G91" s="331" t="s">
        <v>18</v>
      </c>
      <c r="H91" s="331" t="s">
        <v>257</v>
      </c>
      <c r="I91" s="331" t="s">
        <v>33</v>
      </c>
      <c r="J91" s="331" t="s">
        <v>258</v>
      </c>
      <c r="K91" s="331" t="s">
        <v>402</v>
      </c>
      <c r="L91" s="313">
        <f>L92+L94+L96+L98+L100+L102</f>
        <v>218471700</v>
      </c>
      <c r="M91" s="321"/>
      <c r="N91" s="321"/>
      <c r="O91" s="321"/>
      <c r="P91" s="321"/>
      <c r="Q91" s="321"/>
      <c r="R91" s="322"/>
      <c r="S91" s="322"/>
      <c r="T91" s="313">
        <f>T92+T94+T96+T98+T100+T102</f>
        <v>216433070</v>
      </c>
      <c r="U91" s="436">
        <f t="shared" si="9"/>
        <v>99.06686769956933</v>
      </c>
    </row>
    <row r="92" spans="1:21" s="352" customFormat="1" ht="39.75" customHeight="1">
      <c r="A92" s="356" t="s">
        <v>427</v>
      </c>
      <c r="B92" s="294"/>
      <c r="C92" s="318" t="s">
        <v>428</v>
      </c>
      <c r="D92" s="386" t="s">
        <v>257</v>
      </c>
      <c r="E92" s="386" t="s">
        <v>399</v>
      </c>
      <c r="F92" s="386" t="s">
        <v>16</v>
      </c>
      <c r="G92" s="386" t="s">
        <v>18</v>
      </c>
      <c r="H92" s="386" t="s">
        <v>429</v>
      </c>
      <c r="I92" s="386" t="s">
        <v>33</v>
      </c>
      <c r="J92" s="386" t="s">
        <v>258</v>
      </c>
      <c r="K92" s="386" t="s">
        <v>402</v>
      </c>
      <c r="L92" s="379">
        <f>L93</f>
        <v>4000</v>
      </c>
      <c r="M92" s="321"/>
      <c r="N92" s="321"/>
      <c r="O92" s="321"/>
      <c r="P92" s="321"/>
      <c r="Q92" s="321"/>
      <c r="R92" s="322"/>
      <c r="S92" s="322"/>
      <c r="T92" s="379">
        <f>T93</f>
        <v>800</v>
      </c>
      <c r="U92" s="436">
        <f t="shared" si="9"/>
        <v>20</v>
      </c>
    </row>
    <row r="93" spans="1:21" s="352" customFormat="1" ht="37.5" customHeight="1">
      <c r="A93" s="364"/>
      <c r="B93" s="294"/>
      <c r="C93" s="387" t="s">
        <v>430</v>
      </c>
      <c r="D93" s="388" t="s">
        <v>257</v>
      </c>
      <c r="E93" s="388" t="s">
        <v>399</v>
      </c>
      <c r="F93" s="388" t="s">
        <v>16</v>
      </c>
      <c r="G93" s="388" t="s">
        <v>18</v>
      </c>
      <c r="H93" s="388" t="s">
        <v>429</v>
      </c>
      <c r="I93" s="388" t="s">
        <v>15</v>
      </c>
      <c r="J93" s="388" t="s">
        <v>258</v>
      </c>
      <c r="K93" s="343" t="s">
        <v>402</v>
      </c>
      <c r="L93" s="319">
        <v>4000</v>
      </c>
      <c r="M93" s="321"/>
      <c r="N93" s="321"/>
      <c r="O93" s="321"/>
      <c r="P93" s="321"/>
      <c r="Q93" s="321"/>
      <c r="R93" s="322"/>
      <c r="S93" s="322"/>
      <c r="T93" s="319">
        <v>800</v>
      </c>
      <c r="U93" s="436">
        <f t="shared" si="9"/>
        <v>20</v>
      </c>
    </row>
    <row r="94" spans="1:21" ht="31.5">
      <c r="A94" s="356" t="s">
        <v>431</v>
      </c>
      <c r="B94" s="294"/>
      <c r="C94" s="384" t="s">
        <v>432</v>
      </c>
      <c r="D94" s="386" t="s">
        <v>257</v>
      </c>
      <c r="E94" s="386" t="s">
        <v>399</v>
      </c>
      <c r="F94" s="386" t="s">
        <v>16</v>
      </c>
      <c r="G94" s="386" t="s">
        <v>18</v>
      </c>
      <c r="H94" s="386" t="s">
        <v>433</v>
      </c>
      <c r="I94" s="386" t="s">
        <v>33</v>
      </c>
      <c r="J94" s="386" t="s">
        <v>258</v>
      </c>
      <c r="K94" s="386" t="s">
        <v>402</v>
      </c>
      <c r="L94" s="379">
        <f>L95</f>
        <v>591700</v>
      </c>
      <c r="M94" s="321"/>
      <c r="N94" s="321"/>
      <c r="O94" s="321"/>
      <c r="P94" s="321"/>
      <c r="Q94" s="321"/>
      <c r="R94" s="322"/>
      <c r="S94" s="322"/>
      <c r="T94" s="379">
        <f>T95</f>
        <v>591700</v>
      </c>
      <c r="U94" s="436">
        <f t="shared" si="9"/>
        <v>100</v>
      </c>
    </row>
    <row r="95" spans="1:21" ht="52.5" customHeight="1">
      <c r="A95" s="320"/>
      <c r="B95" s="294"/>
      <c r="C95" s="385" t="s">
        <v>434</v>
      </c>
      <c r="D95" s="343" t="s">
        <v>257</v>
      </c>
      <c r="E95" s="343" t="s">
        <v>399</v>
      </c>
      <c r="F95" s="343" t="s">
        <v>16</v>
      </c>
      <c r="G95" s="343" t="s">
        <v>18</v>
      </c>
      <c r="H95" s="343" t="s">
        <v>433</v>
      </c>
      <c r="I95" s="343" t="s">
        <v>15</v>
      </c>
      <c r="J95" s="343" t="s">
        <v>258</v>
      </c>
      <c r="K95" s="343" t="s">
        <v>402</v>
      </c>
      <c r="L95" s="319">
        <f>562000+29700</f>
        <v>591700</v>
      </c>
      <c r="M95" s="321"/>
      <c r="N95" s="321"/>
      <c r="O95" s="321"/>
      <c r="P95" s="321"/>
      <c r="Q95" s="321"/>
      <c r="R95" s="322"/>
      <c r="S95" s="322"/>
      <c r="T95" s="319">
        <f>562000+29700</f>
        <v>591700</v>
      </c>
      <c r="U95" s="436">
        <f t="shared" si="9"/>
        <v>100</v>
      </c>
    </row>
    <row r="96" spans="1:21" ht="31.5">
      <c r="A96" s="356" t="s">
        <v>435</v>
      </c>
      <c r="B96" s="294"/>
      <c r="C96" s="384" t="s">
        <v>436</v>
      </c>
      <c r="D96" s="386" t="s">
        <v>257</v>
      </c>
      <c r="E96" s="386" t="s">
        <v>399</v>
      </c>
      <c r="F96" s="386" t="s">
        <v>16</v>
      </c>
      <c r="G96" s="386" t="s">
        <v>18</v>
      </c>
      <c r="H96" s="386" t="s">
        <v>437</v>
      </c>
      <c r="I96" s="386" t="s">
        <v>33</v>
      </c>
      <c r="J96" s="386" t="s">
        <v>258</v>
      </c>
      <c r="K96" s="386" t="s">
        <v>402</v>
      </c>
      <c r="L96" s="379">
        <f>L97</f>
        <v>2991000</v>
      </c>
      <c r="M96" s="321"/>
      <c r="N96" s="321"/>
      <c r="O96" s="321"/>
      <c r="P96" s="321"/>
      <c r="Q96" s="321"/>
      <c r="R96" s="322"/>
      <c r="S96" s="322"/>
      <c r="T96" s="379">
        <f>T97</f>
        <v>2608300</v>
      </c>
      <c r="U96" s="436">
        <f t="shared" si="9"/>
        <v>87.20494817786694</v>
      </c>
    </row>
    <row r="97" spans="1:21" ht="31.5">
      <c r="A97" s="320"/>
      <c r="B97" s="294"/>
      <c r="C97" s="385" t="s">
        <v>438</v>
      </c>
      <c r="D97" s="343" t="s">
        <v>257</v>
      </c>
      <c r="E97" s="343" t="s">
        <v>399</v>
      </c>
      <c r="F97" s="343" t="s">
        <v>16</v>
      </c>
      <c r="G97" s="343" t="s">
        <v>18</v>
      </c>
      <c r="H97" s="343" t="s">
        <v>437</v>
      </c>
      <c r="I97" s="343" t="s">
        <v>15</v>
      </c>
      <c r="J97" s="343" t="s">
        <v>439</v>
      </c>
      <c r="K97" s="343" t="s">
        <v>402</v>
      </c>
      <c r="L97" s="413">
        <v>2991000</v>
      </c>
      <c r="M97" s="321"/>
      <c r="N97" s="321"/>
      <c r="O97" s="321"/>
      <c r="P97" s="321"/>
      <c r="Q97" s="321"/>
      <c r="R97" s="322"/>
      <c r="S97" s="322"/>
      <c r="T97" s="413">
        <v>2608300</v>
      </c>
      <c r="U97" s="436">
        <f t="shared" si="9"/>
        <v>87.20494817786694</v>
      </c>
    </row>
    <row r="98" spans="1:21" ht="30" customHeight="1">
      <c r="A98" s="356" t="s">
        <v>440</v>
      </c>
      <c r="B98" s="294"/>
      <c r="C98" s="384" t="s">
        <v>441</v>
      </c>
      <c r="D98" s="386" t="s">
        <v>257</v>
      </c>
      <c r="E98" s="386" t="s">
        <v>399</v>
      </c>
      <c r="F98" s="386" t="s">
        <v>16</v>
      </c>
      <c r="G98" s="386" t="s">
        <v>18</v>
      </c>
      <c r="H98" s="386" t="s">
        <v>116</v>
      </c>
      <c r="I98" s="386" t="s">
        <v>33</v>
      </c>
      <c r="J98" s="386" t="s">
        <v>258</v>
      </c>
      <c r="K98" s="386" t="s">
        <v>402</v>
      </c>
      <c r="L98" s="389">
        <f>L99</f>
        <v>72317000</v>
      </c>
      <c r="M98" s="321"/>
      <c r="N98" s="321"/>
      <c r="O98" s="321"/>
      <c r="P98" s="321"/>
      <c r="Q98" s="321"/>
      <c r="R98" s="322"/>
      <c r="S98" s="322"/>
      <c r="T98" s="389">
        <f>T99</f>
        <v>70664270</v>
      </c>
      <c r="U98" s="436">
        <f t="shared" si="9"/>
        <v>97.71460375845237</v>
      </c>
    </row>
    <row r="99" spans="1:21" ht="34.5" customHeight="1">
      <c r="A99" s="320"/>
      <c r="B99" s="294"/>
      <c r="C99" s="385" t="s">
        <v>442</v>
      </c>
      <c r="D99" s="324" t="s">
        <v>257</v>
      </c>
      <c r="E99" s="324" t="s">
        <v>399</v>
      </c>
      <c r="F99" s="324" t="s">
        <v>16</v>
      </c>
      <c r="G99" s="324" t="s">
        <v>18</v>
      </c>
      <c r="H99" s="324" t="s">
        <v>116</v>
      </c>
      <c r="I99" s="324" t="s">
        <v>15</v>
      </c>
      <c r="J99" s="324" t="s">
        <v>258</v>
      </c>
      <c r="K99" s="324" t="s">
        <v>402</v>
      </c>
      <c r="L99" s="319">
        <v>72317000</v>
      </c>
      <c r="M99" s="321"/>
      <c r="N99" s="321"/>
      <c r="O99" s="321"/>
      <c r="P99" s="321"/>
      <c r="Q99" s="321"/>
      <c r="R99" s="322"/>
      <c r="S99" s="322"/>
      <c r="T99" s="319">
        <v>70664270</v>
      </c>
      <c r="U99" s="436">
        <f t="shared" si="9"/>
        <v>97.71460375845237</v>
      </c>
    </row>
    <row r="100" spans="1:21" ht="40.5" customHeight="1">
      <c r="A100" s="391" t="s">
        <v>443</v>
      </c>
      <c r="B100" s="294"/>
      <c r="C100" s="490" t="s">
        <v>444</v>
      </c>
      <c r="D100" s="386" t="s">
        <v>257</v>
      </c>
      <c r="E100" s="386" t="s">
        <v>399</v>
      </c>
      <c r="F100" s="386" t="s">
        <v>16</v>
      </c>
      <c r="G100" s="386" t="s">
        <v>18</v>
      </c>
      <c r="H100" s="386" t="s">
        <v>445</v>
      </c>
      <c r="I100" s="386" t="s">
        <v>33</v>
      </c>
      <c r="J100" s="386" t="s">
        <v>258</v>
      </c>
      <c r="K100" s="386" t="s">
        <v>402</v>
      </c>
      <c r="L100" s="379">
        <f>L101</f>
        <v>6067000</v>
      </c>
      <c r="M100" s="321"/>
      <c r="N100" s="321"/>
      <c r="O100" s="321"/>
      <c r="P100" s="321"/>
      <c r="Q100" s="321"/>
      <c r="R100" s="322"/>
      <c r="S100" s="322"/>
      <c r="T100" s="379">
        <f>T101</f>
        <v>6067000</v>
      </c>
      <c r="U100" s="436">
        <f t="shared" si="9"/>
        <v>100</v>
      </c>
    </row>
    <row r="101" spans="1:21" ht="47.25">
      <c r="A101" s="376"/>
      <c r="B101" s="294"/>
      <c r="C101" s="392" t="s">
        <v>446</v>
      </c>
      <c r="D101" s="343" t="s">
        <v>257</v>
      </c>
      <c r="E101" s="343" t="s">
        <v>399</v>
      </c>
      <c r="F101" s="343" t="s">
        <v>16</v>
      </c>
      <c r="G101" s="343" t="s">
        <v>18</v>
      </c>
      <c r="H101" s="343" t="s">
        <v>445</v>
      </c>
      <c r="I101" s="343" t="s">
        <v>15</v>
      </c>
      <c r="J101" s="343" t="s">
        <v>258</v>
      </c>
      <c r="K101" s="343" t="s">
        <v>402</v>
      </c>
      <c r="L101" s="319">
        <v>6067000</v>
      </c>
      <c r="M101" s="390"/>
      <c r="N101" s="321"/>
      <c r="O101" s="321"/>
      <c r="P101" s="321"/>
      <c r="Q101" s="321"/>
      <c r="R101" s="322"/>
      <c r="S101" s="322"/>
      <c r="T101" s="319">
        <v>6067000</v>
      </c>
      <c r="U101" s="436">
        <f t="shared" si="9"/>
        <v>100</v>
      </c>
    </row>
    <row r="102" spans="1:21" ht="18.75">
      <c r="A102" s="356" t="s">
        <v>447</v>
      </c>
      <c r="B102" s="294"/>
      <c r="C102" s="393" t="s">
        <v>448</v>
      </c>
      <c r="D102" s="386" t="s">
        <v>257</v>
      </c>
      <c r="E102" s="386" t="s">
        <v>399</v>
      </c>
      <c r="F102" s="386" t="s">
        <v>16</v>
      </c>
      <c r="G102" s="386" t="s">
        <v>18</v>
      </c>
      <c r="H102" s="386" t="s">
        <v>423</v>
      </c>
      <c r="I102" s="386" t="s">
        <v>33</v>
      </c>
      <c r="J102" s="386" t="s">
        <v>258</v>
      </c>
      <c r="K102" s="386" t="s">
        <v>402</v>
      </c>
      <c r="L102" s="379">
        <f>L103</f>
        <v>136501000</v>
      </c>
      <c r="M102" s="390"/>
      <c r="N102" s="321"/>
      <c r="O102" s="321"/>
      <c r="P102" s="321"/>
      <c r="Q102" s="321"/>
      <c r="R102" s="322"/>
      <c r="S102" s="322"/>
      <c r="T102" s="379">
        <f>T103</f>
        <v>136501000</v>
      </c>
      <c r="U102" s="436">
        <f t="shared" si="9"/>
        <v>100</v>
      </c>
    </row>
    <row r="103" spans="1:21" ht="18.75">
      <c r="A103" s="320"/>
      <c r="B103" s="294"/>
      <c r="C103" s="318" t="s">
        <v>449</v>
      </c>
      <c r="D103" s="343" t="s">
        <v>257</v>
      </c>
      <c r="E103" s="343" t="s">
        <v>399</v>
      </c>
      <c r="F103" s="343" t="s">
        <v>16</v>
      </c>
      <c r="G103" s="343" t="s">
        <v>18</v>
      </c>
      <c r="H103" s="343" t="s">
        <v>423</v>
      </c>
      <c r="I103" s="343" t="s">
        <v>15</v>
      </c>
      <c r="J103" s="343" t="s">
        <v>258</v>
      </c>
      <c r="K103" s="343" t="s">
        <v>402</v>
      </c>
      <c r="L103" s="319">
        <f>127083000+3976000+5442000</f>
        <v>136501000</v>
      </c>
      <c r="M103" s="390"/>
      <c r="N103" s="321"/>
      <c r="O103" s="321"/>
      <c r="P103" s="321"/>
      <c r="Q103" s="321"/>
      <c r="R103" s="322"/>
      <c r="S103" s="322"/>
      <c r="T103" s="319">
        <f>127083000+3976000+5442000</f>
        <v>136501000</v>
      </c>
      <c r="U103" s="436">
        <f t="shared" si="9"/>
        <v>100</v>
      </c>
    </row>
    <row r="104" spans="1:21" ht="21.75" customHeight="1">
      <c r="A104" s="311" t="s">
        <v>450</v>
      </c>
      <c r="B104" s="294"/>
      <c r="C104" s="397" t="s">
        <v>105</v>
      </c>
      <c r="D104" s="331" t="s">
        <v>257</v>
      </c>
      <c r="E104" s="331" t="s">
        <v>399</v>
      </c>
      <c r="F104" s="331" t="s">
        <v>16</v>
      </c>
      <c r="G104" s="331" t="s">
        <v>19</v>
      </c>
      <c r="H104" s="331" t="s">
        <v>257</v>
      </c>
      <c r="I104" s="331" t="s">
        <v>33</v>
      </c>
      <c r="J104" s="331" t="s">
        <v>258</v>
      </c>
      <c r="K104" s="331" t="s">
        <v>402</v>
      </c>
      <c r="L104" s="313">
        <f>L107+L109+L110+L111</f>
        <v>1337200</v>
      </c>
      <c r="M104" s="394"/>
      <c r="N104" s="395"/>
      <c r="O104" s="395"/>
      <c r="P104" s="395"/>
      <c r="Q104" s="395"/>
      <c r="R104" s="396"/>
      <c r="S104" s="396"/>
      <c r="T104" s="313">
        <f>T107+T109+T110+T111</f>
        <v>739197</v>
      </c>
      <c r="U104" s="436">
        <f t="shared" si="9"/>
        <v>55.27946455279689</v>
      </c>
    </row>
    <row r="105" spans="1:21" ht="21" customHeight="1">
      <c r="A105" s="356" t="s">
        <v>451</v>
      </c>
      <c r="B105" s="294"/>
      <c r="C105" s="393" t="s">
        <v>452</v>
      </c>
      <c r="D105" s="386" t="s">
        <v>257</v>
      </c>
      <c r="E105" s="386" t="s">
        <v>399</v>
      </c>
      <c r="F105" s="386" t="s">
        <v>16</v>
      </c>
      <c r="G105" s="386" t="s">
        <v>19</v>
      </c>
      <c r="H105" s="386" t="s">
        <v>453</v>
      </c>
      <c r="I105" s="386" t="s">
        <v>33</v>
      </c>
      <c r="J105" s="386" t="s">
        <v>258</v>
      </c>
      <c r="K105" s="386" t="s">
        <v>402</v>
      </c>
      <c r="L105" s="379">
        <f>L106</f>
        <v>0</v>
      </c>
      <c r="M105" s="394"/>
      <c r="N105" s="395"/>
      <c r="O105" s="395"/>
      <c r="P105" s="395"/>
      <c r="Q105" s="395"/>
      <c r="R105" s="396"/>
      <c r="S105" s="396"/>
      <c r="T105" s="379">
        <f>T106</f>
        <v>0</v>
      </c>
      <c r="U105" s="436" t="e">
        <f t="shared" si="9"/>
        <v>#DIV/0!</v>
      </c>
    </row>
    <row r="106" spans="1:21" ht="21" customHeight="1">
      <c r="A106" s="311"/>
      <c r="B106" s="294"/>
      <c r="C106" s="318" t="s">
        <v>454</v>
      </c>
      <c r="D106" s="343" t="s">
        <v>257</v>
      </c>
      <c r="E106" s="343" t="s">
        <v>399</v>
      </c>
      <c r="F106" s="343" t="s">
        <v>16</v>
      </c>
      <c r="G106" s="343" t="s">
        <v>19</v>
      </c>
      <c r="H106" s="343" t="s">
        <v>453</v>
      </c>
      <c r="I106" s="343" t="s">
        <v>15</v>
      </c>
      <c r="J106" s="343" t="s">
        <v>258</v>
      </c>
      <c r="K106" s="343" t="s">
        <v>402</v>
      </c>
      <c r="L106" s="319">
        <v>0</v>
      </c>
      <c r="M106" s="394"/>
      <c r="N106" s="395"/>
      <c r="O106" s="395"/>
      <c r="P106" s="395"/>
      <c r="Q106" s="395"/>
      <c r="R106" s="396"/>
      <c r="S106" s="396"/>
      <c r="T106" s="319">
        <v>0</v>
      </c>
      <c r="U106" s="436" t="e">
        <f t="shared" si="9"/>
        <v>#DIV/0!</v>
      </c>
    </row>
    <row r="107" spans="1:21" ht="33" customHeight="1">
      <c r="A107" s="356" t="s">
        <v>455</v>
      </c>
      <c r="B107" s="294"/>
      <c r="C107" s="384" t="s">
        <v>456</v>
      </c>
      <c r="D107" s="386" t="s">
        <v>257</v>
      </c>
      <c r="E107" s="386" t="s">
        <v>399</v>
      </c>
      <c r="F107" s="386" t="s">
        <v>16</v>
      </c>
      <c r="G107" s="386" t="s">
        <v>19</v>
      </c>
      <c r="H107" s="386" t="s">
        <v>457</v>
      </c>
      <c r="I107" s="386" t="s">
        <v>33</v>
      </c>
      <c r="J107" s="386" t="s">
        <v>258</v>
      </c>
      <c r="K107" s="386" t="s">
        <v>402</v>
      </c>
      <c r="L107" s="379">
        <f>L108</f>
        <v>1134000</v>
      </c>
      <c r="M107" s="398"/>
      <c r="N107" s="399"/>
      <c r="O107" s="399"/>
      <c r="P107" s="399"/>
      <c r="Q107" s="399"/>
      <c r="R107" s="396"/>
      <c r="S107" s="396"/>
      <c r="T107" s="379">
        <f>T108</f>
        <v>535997</v>
      </c>
      <c r="U107" s="436">
        <f t="shared" si="9"/>
        <v>47.26604938271605</v>
      </c>
    </row>
    <row r="108" spans="1:21" ht="48" customHeight="1">
      <c r="A108" s="320"/>
      <c r="B108" s="294"/>
      <c r="C108" s="385" t="s">
        <v>458</v>
      </c>
      <c r="D108" s="343" t="s">
        <v>257</v>
      </c>
      <c r="E108" s="343" t="s">
        <v>399</v>
      </c>
      <c r="F108" s="343" t="s">
        <v>16</v>
      </c>
      <c r="G108" s="343" t="s">
        <v>19</v>
      </c>
      <c r="H108" s="343" t="s">
        <v>457</v>
      </c>
      <c r="I108" s="343" t="s">
        <v>15</v>
      </c>
      <c r="J108" s="343" t="s">
        <v>258</v>
      </c>
      <c r="K108" s="343" t="s">
        <v>402</v>
      </c>
      <c r="L108" s="327">
        <f>860500+273500</f>
        <v>1134000</v>
      </c>
      <c r="M108" s="398"/>
      <c r="N108" s="399"/>
      <c r="O108" s="399"/>
      <c r="P108" s="399"/>
      <c r="Q108" s="399"/>
      <c r="R108" s="396"/>
      <c r="S108" s="396"/>
      <c r="T108" s="327">
        <v>535997</v>
      </c>
      <c r="U108" s="436">
        <f t="shared" si="9"/>
        <v>47.26604938271605</v>
      </c>
    </row>
    <row r="109" spans="1:21" ht="66.75" customHeight="1">
      <c r="A109" s="320"/>
      <c r="B109" s="294"/>
      <c r="C109" s="385" t="s">
        <v>459</v>
      </c>
      <c r="D109" s="343" t="s">
        <v>257</v>
      </c>
      <c r="E109" s="343" t="s">
        <v>399</v>
      </c>
      <c r="F109" s="343" t="s">
        <v>16</v>
      </c>
      <c r="G109" s="343" t="s">
        <v>19</v>
      </c>
      <c r="H109" s="343" t="s">
        <v>357</v>
      </c>
      <c r="I109" s="343" t="s">
        <v>15</v>
      </c>
      <c r="J109" s="343" t="s">
        <v>258</v>
      </c>
      <c r="K109" s="343" t="s">
        <v>402</v>
      </c>
      <c r="L109" s="319">
        <v>51200</v>
      </c>
      <c r="M109" s="400"/>
      <c r="N109" s="401"/>
      <c r="O109" s="401"/>
      <c r="P109" s="401"/>
      <c r="Q109" s="401"/>
      <c r="R109" s="401"/>
      <c r="S109" s="401"/>
      <c r="T109" s="319">
        <v>51200</v>
      </c>
      <c r="U109" s="436">
        <f t="shared" si="9"/>
        <v>100</v>
      </c>
    </row>
    <row r="110" spans="1:21" ht="50.25" customHeight="1">
      <c r="A110" s="405"/>
      <c r="B110" s="294"/>
      <c r="C110" s="385" t="s">
        <v>545</v>
      </c>
      <c r="D110" s="343" t="s">
        <v>257</v>
      </c>
      <c r="E110" s="343" t="s">
        <v>399</v>
      </c>
      <c r="F110" s="343" t="s">
        <v>16</v>
      </c>
      <c r="G110" s="343" t="s">
        <v>19</v>
      </c>
      <c r="H110" s="343" t="s">
        <v>546</v>
      </c>
      <c r="I110" s="343" t="s">
        <v>15</v>
      </c>
      <c r="J110" s="343" t="s">
        <v>258</v>
      </c>
      <c r="K110" s="343" t="s">
        <v>402</v>
      </c>
      <c r="L110" s="319">
        <v>100000</v>
      </c>
      <c r="M110" s="402"/>
      <c r="N110" s="403"/>
      <c r="O110" s="403"/>
      <c r="P110" s="403"/>
      <c r="Q110" s="403"/>
      <c r="R110" s="396"/>
      <c r="S110" s="396"/>
      <c r="T110" s="319">
        <v>100000</v>
      </c>
      <c r="U110" s="436">
        <f t="shared" si="9"/>
        <v>100</v>
      </c>
    </row>
    <row r="111" spans="1:21" ht="34.5" customHeight="1">
      <c r="A111" s="405"/>
      <c r="B111" s="294"/>
      <c r="C111" s="385" t="s">
        <v>460</v>
      </c>
      <c r="D111" s="343" t="s">
        <v>257</v>
      </c>
      <c r="E111" s="343" t="s">
        <v>399</v>
      </c>
      <c r="F111" s="343" t="s">
        <v>16</v>
      </c>
      <c r="G111" s="343" t="s">
        <v>19</v>
      </c>
      <c r="H111" s="343" t="s">
        <v>423</v>
      </c>
      <c r="I111" s="343" t="s">
        <v>15</v>
      </c>
      <c r="J111" s="343" t="s">
        <v>258</v>
      </c>
      <c r="K111" s="343" t="s">
        <v>402</v>
      </c>
      <c r="L111" s="319">
        <v>52000</v>
      </c>
      <c r="M111" s="404"/>
      <c r="N111" s="404"/>
      <c r="O111" s="404"/>
      <c r="P111" s="404"/>
      <c r="Q111" s="404"/>
      <c r="R111" s="404"/>
      <c r="S111" s="404"/>
      <c r="T111" s="319">
        <v>52000</v>
      </c>
      <c r="U111" s="436">
        <f t="shared" si="9"/>
        <v>100</v>
      </c>
    </row>
    <row r="112" spans="1:21" ht="57.75" customHeight="1">
      <c r="A112" s="364" t="s">
        <v>461</v>
      </c>
      <c r="B112" s="294"/>
      <c r="C112" s="397" t="s">
        <v>462</v>
      </c>
      <c r="D112" s="331" t="s">
        <v>257</v>
      </c>
      <c r="E112" s="331" t="s">
        <v>399</v>
      </c>
      <c r="F112" s="331" t="s">
        <v>10</v>
      </c>
      <c r="G112" s="331" t="s">
        <v>33</v>
      </c>
      <c r="H112" s="331" t="s">
        <v>257</v>
      </c>
      <c r="I112" s="331" t="s">
        <v>33</v>
      </c>
      <c r="J112" s="331" t="s">
        <v>258</v>
      </c>
      <c r="K112" s="331" t="s">
        <v>392</v>
      </c>
      <c r="L112" s="313">
        <f>L113</f>
        <v>450000</v>
      </c>
      <c r="M112" s="404"/>
      <c r="N112" s="404"/>
      <c r="O112" s="404"/>
      <c r="P112" s="404"/>
      <c r="Q112" s="404"/>
      <c r="R112" s="404"/>
      <c r="S112" s="404"/>
      <c r="T112" s="313">
        <f>T113</f>
        <v>469655</v>
      </c>
      <c r="U112" s="436">
        <f>T112/L112*100</f>
        <v>104.36777777777777</v>
      </c>
    </row>
    <row r="113" spans="1:21" ht="33.75" customHeight="1">
      <c r="A113" s="406"/>
      <c r="B113" s="294"/>
      <c r="C113" s="407" t="s">
        <v>463</v>
      </c>
      <c r="D113" s="408" t="s">
        <v>257</v>
      </c>
      <c r="E113" s="408" t="s">
        <v>399</v>
      </c>
      <c r="F113" s="408" t="s">
        <v>10</v>
      </c>
      <c r="G113" s="408" t="s">
        <v>15</v>
      </c>
      <c r="H113" s="408" t="s">
        <v>257</v>
      </c>
      <c r="I113" s="408" t="s">
        <v>15</v>
      </c>
      <c r="J113" s="408" t="s">
        <v>258</v>
      </c>
      <c r="K113" s="408" t="s">
        <v>392</v>
      </c>
      <c r="L113" s="409">
        <v>450000</v>
      </c>
      <c r="M113" s="404"/>
      <c r="N113" s="404"/>
      <c r="O113" s="404"/>
      <c r="P113" s="404"/>
      <c r="Q113" s="404"/>
      <c r="R113" s="404"/>
      <c r="S113" s="404"/>
      <c r="T113" s="409">
        <v>469655</v>
      </c>
      <c r="U113" s="436">
        <f t="shared" si="9"/>
        <v>104.36777777777777</v>
      </c>
    </row>
    <row r="114" spans="1:21" ht="30" customHeight="1">
      <c r="A114" s="364" t="s">
        <v>464</v>
      </c>
      <c r="B114" s="294"/>
      <c r="C114" s="491" t="s">
        <v>562</v>
      </c>
      <c r="D114" s="331" t="s">
        <v>257</v>
      </c>
      <c r="E114" s="331" t="s">
        <v>399</v>
      </c>
      <c r="F114" s="331" t="s">
        <v>563</v>
      </c>
      <c r="G114" s="331" t="s">
        <v>15</v>
      </c>
      <c r="H114" s="331" t="s">
        <v>257</v>
      </c>
      <c r="I114" s="331" t="s">
        <v>33</v>
      </c>
      <c r="J114" s="331" t="s">
        <v>258</v>
      </c>
      <c r="K114" s="331" t="s">
        <v>257</v>
      </c>
      <c r="L114" s="313">
        <f>L115</f>
        <v>8733542.51</v>
      </c>
      <c r="M114" s="404"/>
      <c r="N114" s="404"/>
      <c r="O114" s="404"/>
      <c r="P114" s="404"/>
      <c r="Q114" s="404"/>
      <c r="R114" s="404"/>
      <c r="S114" s="404"/>
      <c r="T114" s="313">
        <f>T115</f>
        <v>8733542.51</v>
      </c>
      <c r="U114" s="436">
        <f t="shared" si="9"/>
        <v>100</v>
      </c>
    </row>
    <row r="115" spans="1:21" ht="32.25" customHeight="1" thickBot="1">
      <c r="A115" s="410"/>
      <c r="B115" s="294"/>
      <c r="C115" s="407" t="s">
        <v>564</v>
      </c>
      <c r="D115" s="408" t="s">
        <v>63</v>
      </c>
      <c r="E115" s="408" t="s">
        <v>399</v>
      </c>
      <c r="F115" s="408" t="s">
        <v>563</v>
      </c>
      <c r="G115" s="408" t="s">
        <v>15</v>
      </c>
      <c r="H115" s="408" t="s">
        <v>266</v>
      </c>
      <c r="I115" s="408" t="s">
        <v>15</v>
      </c>
      <c r="J115" s="408" t="s">
        <v>258</v>
      </c>
      <c r="K115" s="408" t="s">
        <v>402</v>
      </c>
      <c r="L115" s="409">
        <v>8733542.51</v>
      </c>
      <c r="M115" s="404"/>
      <c r="N115" s="404"/>
      <c r="O115" s="404"/>
      <c r="P115" s="404"/>
      <c r="Q115" s="404"/>
      <c r="R115" s="404"/>
      <c r="S115" s="404"/>
      <c r="T115" s="409">
        <v>8733542.51</v>
      </c>
      <c r="U115" s="436">
        <f t="shared" si="9"/>
        <v>100</v>
      </c>
    </row>
    <row r="116" spans="1:21" ht="37.5" customHeight="1">
      <c r="A116" s="492"/>
      <c r="B116" s="294"/>
      <c r="C116" s="397" t="s">
        <v>465</v>
      </c>
      <c r="D116" s="331" t="s">
        <v>257</v>
      </c>
      <c r="E116" s="331" t="s">
        <v>399</v>
      </c>
      <c r="F116" s="331" t="s">
        <v>466</v>
      </c>
      <c r="G116" s="331" t="s">
        <v>33</v>
      </c>
      <c r="H116" s="331" t="s">
        <v>257</v>
      </c>
      <c r="I116" s="331" t="s">
        <v>33</v>
      </c>
      <c r="J116" s="331" t="s">
        <v>258</v>
      </c>
      <c r="K116" s="331" t="s">
        <v>257</v>
      </c>
      <c r="L116" s="313">
        <f>L117</f>
        <v>-15467805.52</v>
      </c>
      <c r="M116" s="404"/>
      <c r="N116" s="404"/>
      <c r="O116" s="404"/>
      <c r="P116" s="404"/>
      <c r="Q116" s="404"/>
      <c r="R116" s="404"/>
      <c r="S116" s="404"/>
      <c r="T116" s="313">
        <f>T117</f>
        <v>-15467805.52</v>
      </c>
      <c r="U116" s="436">
        <f t="shared" si="9"/>
        <v>100</v>
      </c>
    </row>
    <row r="117" spans="1:21" ht="36.75" customHeight="1" thickBot="1">
      <c r="A117" s="320"/>
      <c r="B117" s="294"/>
      <c r="C117" s="411" t="s">
        <v>467</v>
      </c>
      <c r="D117" s="412" t="s">
        <v>63</v>
      </c>
      <c r="E117" s="412" t="s">
        <v>399</v>
      </c>
      <c r="F117" s="412" t="s">
        <v>466</v>
      </c>
      <c r="G117" s="412" t="s">
        <v>15</v>
      </c>
      <c r="H117" s="412" t="s">
        <v>257</v>
      </c>
      <c r="I117" s="412" t="s">
        <v>15</v>
      </c>
      <c r="J117" s="412" t="s">
        <v>258</v>
      </c>
      <c r="K117" s="412" t="s">
        <v>402</v>
      </c>
      <c r="L117" s="493">
        <v>-15467805.52</v>
      </c>
      <c r="M117" s="404"/>
      <c r="N117" s="404"/>
      <c r="O117" s="404"/>
      <c r="P117" s="404"/>
      <c r="Q117" s="404"/>
      <c r="R117" s="404"/>
      <c r="S117" s="404"/>
      <c r="T117" s="493">
        <v>-15467805.52</v>
      </c>
      <c r="U117" s="436">
        <f t="shared" si="9"/>
        <v>100</v>
      </c>
    </row>
    <row r="118" spans="1:21" ht="30" customHeight="1" thickBot="1">
      <c r="A118" s="320"/>
      <c r="B118" s="294"/>
      <c r="C118" s="494" t="s">
        <v>468</v>
      </c>
      <c r="D118" s="495"/>
      <c r="E118" s="495"/>
      <c r="F118" s="495"/>
      <c r="G118" s="495"/>
      <c r="H118" s="495"/>
      <c r="I118" s="495"/>
      <c r="J118" s="495"/>
      <c r="K118" s="495"/>
      <c r="L118" s="496">
        <f>L8+L76</f>
        <v>507396237.62</v>
      </c>
      <c r="M118" s="404"/>
      <c r="N118" s="404"/>
      <c r="O118" s="404"/>
      <c r="P118" s="404"/>
      <c r="Q118" s="404"/>
      <c r="R118" s="404"/>
      <c r="S118" s="404"/>
      <c r="T118" s="496">
        <f>T8+T76</f>
        <v>466686505.21</v>
      </c>
      <c r="U118" s="436">
        <f t="shared" si="9"/>
        <v>91.97673743089746</v>
      </c>
    </row>
    <row r="119" spans="1:19" ht="18" customHeight="1">
      <c r="A119" s="293"/>
      <c r="B119" s="294"/>
      <c r="L119" s="290"/>
      <c r="M119" s="404"/>
      <c r="N119" s="404"/>
      <c r="O119" s="404"/>
      <c r="P119" s="404"/>
      <c r="Q119" s="404"/>
      <c r="R119" s="404"/>
      <c r="S119" s="404"/>
    </row>
    <row r="120" spans="1:19" ht="18.75">
      <c r="A120" s="293"/>
      <c r="B120" s="294"/>
      <c r="C120" s="293"/>
      <c r="D120" s="295"/>
      <c r="E120" s="295"/>
      <c r="F120" s="295"/>
      <c r="G120" s="295"/>
      <c r="H120" s="295"/>
      <c r="I120" s="295"/>
      <c r="J120" s="295"/>
      <c r="K120" s="295"/>
      <c r="L120" s="289"/>
      <c r="M120" s="404"/>
      <c r="N120" s="404"/>
      <c r="O120" s="404"/>
      <c r="P120" s="404"/>
      <c r="Q120" s="404"/>
      <c r="R120" s="404"/>
      <c r="S120" s="404"/>
    </row>
    <row r="121" spans="1:20" ht="18.75">
      <c r="A121" s="293"/>
      <c r="B121" s="294"/>
      <c r="C121" s="293"/>
      <c r="D121" s="295"/>
      <c r="E121" s="295"/>
      <c r="F121" s="295"/>
      <c r="G121" s="295"/>
      <c r="H121" s="525" t="s">
        <v>565</v>
      </c>
      <c r="I121" s="526"/>
      <c r="J121" s="526"/>
      <c r="K121" s="526"/>
      <c r="L121" s="497">
        <f>SUM(L122:L133)</f>
        <v>41386700</v>
      </c>
      <c r="M121" s="404"/>
      <c r="N121" s="404"/>
      <c r="O121" s="404"/>
      <c r="P121" s="404"/>
      <c r="Q121" s="404"/>
      <c r="R121" s="404"/>
      <c r="S121" s="404"/>
      <c r="T121" s="497">
        <f>SUM(T122:T133)</f>
        <v>36866714.19</v>
      </c>
    </row>
    <row r="122" spans="1:20" ht="18.75">
      <c r="A122" s="293"/>
      <c r="B122" s="294"/>
      <c r="C122" s="293"/>
      <c r="D122" s="295"/>
      <c r="E122" s="295"/>
      <c r="F122" s="295"/>
      <c r="G122" s="295"/>
      <c r="H122" s="521" t="s">
        <v>566</v>
      </c>
      <c r="I122" s="522"/>
      <c r="J122" s="522"/>
      <c r="K122" s="522"/>
      <c r="L122" s="319">
        <v>5800000</v>
      </c>
      <c r="M122" s="404"/>
      <c r="N122" s="404"/>
      <c r="O122" s="404"/>
      <c r="P122" s="404"/>
      <c r="Q122" s="404"/>
      <c r="R122" s="404"/>
      <c r="S122" s="404"/>
      <c r="T122" s="319">
        <v>4900000</v>
      </c>
    </row>
    <row r="123" spans="1:20" ht="18.75">
      <c r="A123" s="293"/>
      <c r="B123" s="294"/>
      <c r="C123" s="293"/>
      <c r="D123" s="295"/>
      <c r="E123" s="295"/>
      <c r="F123" s="295"/>
      <c r="G123" s="295"/>
      <c r="H123" s="521" t="s">
        <v>567</v>
      </c>
      <c r="I123" s="522"/>
      <c r="J123" s="522"/>
      <c r="K123" s="522"/>
      <c r="L123" s="319">
        <v>1511000</v>
      </c>
      <c r="M123" s="404"/>
      <c r="N123" s="404"/>
      <c r="O123" s="404"/>
      <c r="P123" s="404"/>
      <c r="Q123" s="404"/>
      <c r="R123" s="404"/>
      <c r="S123" s="404"/>
      <c r="T123" s="319">
        <v>1073718.65</v>
      </c>
    </row>
    <row r="124" spans="1:20" ht="18.75">
      <c r="A124" s="293"/>
      <c r="B124" s="294"/>
      <c r="C124" s="293"/>
      <c r="D124" s="295"/>
      <c r="E124" s="295"/>
      <c r="F124" s="295"/>
      <c r="G124" s="295"/>
      <c r="H124" s="521" t="s">
        <v>568</v>
      </c>
      <c r="I124" s="522"/>
      <c r="J124" s="522"/>
      <c r="K124" s="522"/>
      <c r="L124" s="319">
        <v>93700</v>
      </c>
      <c r="M124" s="404"/>
      <c r="N124" s="404"/>
      <c r="O124" s="404"/>
      <c r="P124" s="404"/>
      <c r="Q124" s="404"/>
      <c r="R124" s="404"/>
      <c r="S124" s="404"/>
      <c r="T124" s="319">
        <v>93700</v>
      </c>
    </row>
    <row r="125" spans="1:20" ht="18.75">
      <c r="A125" s="293"/>
      <c r="B125" s="294"/>
      <c r="C125" s="293"/>
      <c r="D125" s="295"/>
      <c r="E125" s="295"/>
      <c r="F125" s="295"/>
      <c r="G125" s="295"/>
      <c r="H125" s="521" t="s">
        <v>569</v>
      </c>
      <c r="I125" s="522"/>
      <c r="J125" s="522"/>
      <c r="K125" s="522"/>
      <c r="L125" s="319">
        <v>163000</v>
      </c>
      <c r="M125" s="404"/>
      <c r="N125" s="404"/>
      <c r="O125" s="404"/>
      <c r="P125" s="404"/>
      <c r="Q125" s="404"/>
      <c r="R125" s="404"/>
      <c r="S125" s="404"/>
      <c r="T125" s="319">
        <v>163000</v>
      </c>
    </row>
    <row r="126" spans="1:20" ht="18.75">
      <c r="A126" s="293"/>
      <c r="B126" s="294"/>
      <c r="C126" s="293"/>
      <c r="D126" s="295"/>
      <c r="E126" s="295"/>
      <c r="F126" s="295"/>
      <c r="G126" s="295"/>
      <c r="H126" s="521" t="s">
        <v>570</v>
      </c>
      <c r="I126" s="522"/>
      <c r="J126" s="522"/>
      <c r="K126" s="522"/>
      <c r="L126" s="498">
        <v>1783000</v>
      </c>
      <c r="M126" s="404"/>
      <c r="N126" s="404"/>
      <c r="O126" s="404"/>
      <c r="P126" s="404"/>
      <c r="Q126" s="404"/>
      <c r="R126" s="404"/>
      <c r="S126" s="404"/>
      <c r="T126" s="498">
        <v>1696544.65</v>
      </c>
    </row>
    <row r="127" spans="1:20" ht="18.75">
      <c r="A127" s="293"/>
      <c r="B127" s="294"/>
      <c r="C127" s="293"/>
      <c r="D127" s="295"/>
      <c r="E127" s="295"/>
      <c r="F127" s="295"/>
      <c r="G127" s="295"/>
      <c r="H127" s="521" t="s">
        <v>571</v>
      </c>
      <c r="I127" s="522"/>
      <c r="J127" s="522"/>
      <c r="K127" s="522"/>
      <c r="L127" s="319">
        <v>12581000</v>
      </c>
      <c r="M127" s="404"/>
      <c r="N127" s="404"/>
      <c r="O127" s="404"/>
      <c r="P127" s="404"/>
      <c r="Q127" s="404"/>
      <c r="R127" s="404"/>
      <c r="S127" s="404"/>
      <c r="T127" s="319">
        <v>10932659.58</v>
      </c>
    </row>
    <row r="128" spans="1:20" ht="18.75">
      <c r="A128" s="293"/>
      <c r="B128" s="294"/>
      <c r="C128" s="293"/>
      <c r="D128" s="295"/>
      <c r="E128" s="295"/>
      <c r="F128" s="295"/>
      <c r="G128" s="295"/>
      <c r="H128" s="521" t="s">
        <v>572</v>
      </c>
      <c r="I128" s="522"/>
      <c r="J128" s="522"/>
      <c r="K128" s="522"/>
      <c r="L128" s="499">
        <v>2577000</v>
      </c>
      <c r="M128" s="404"/>
      <c r="N128" s="404"/>
      <c r="O128" s="404"/>
      <c r="P128" s="404"/>
      <c r="Q128" s="404"/>
      <c r="R128" s="404"/>
      <c r="S128" s="404"/>
      <c r="T128" s="319">
        <v>2577000</v>
      </c>
    </row>
    <row r="129" spans="1:20" ht="18.75">
      <c r="A129" s="293"/>
      <c r="B129" s="294"/>
      <c r="C129" s="293"/>
      <c r="D129" s="295"/>
      <c r="E129" s="295"/>
      <c r="F129" s="295"/>
      <c r="G129" s="295"/>
      <c r="H129" s="521" t="s">
        <v>573</v>
      </c>
      <c r="I129" s="522"/>
      <c r="J129" s="522"/>
      <c r="K129" s="522"/>
      <c r="L129" s="499">
        <v>2256000</v>
      </c>
      <c r="M129" s="404"/>
      <c r="N129" s="404"/>
      <c r="O129" s="404"/>
      <c r="P129" s="404"/>
      <c r="Q129" s="404"/>
      <c r="R129" s="404"/>
      <c r="S129" s="404"/>
      <c r="T129" s="319">
        <v>2102675.79</v>
      </c>
    </row>
    <row r="130" spans="1:20" ht="18.75">
      <c r="A130" s="293"/>
      <c r="B130" s="294"/>
      <c r="C130" s="293"/>
      <c r="D130" s="295"/>
      <c r="E130" s="295"/>
      <c r="F130" s="295"/>
      <c r="G130" s="295"/>
      <c r="H130" s="521" t="s">
        <v>574</v>
      </c>
      <c r="I130" s="522"/>
      <c r="J130" s="522"/>
      <c r="K130" s="522"/>
      <c r="L130" s="499">
        <v>472000</v>
      </c>
      <c r="M130" s="404"/>
      <c r="N130" s="404"/>
      <c r="O130" s="404"/>
      <c r="P130" s="404"/>
      <c r="Q130" s="404"/>
      <c r="R130" s="404"/>
      <c r="S130" s="404"/>
      <c r="T130" s="319">
        <v>412481.52</v>
      </c>
    </row>
    <row r="131" spans="1:20" ht="18.75">
      <c r="A131" s="293"/>
      <c r="B131" s="294"/>
      <c r="C131" s="293"/>
      <c r="D131" s="295"/>
      <c r="E131" s="295"/>
      <c r="F131" s="295"/>
      <c r="G131" s="295"/>
      <c r="H131" s="521" t="s">
        <v>575</v>
      </c>
      <c r="I131" s="522"/>
      <c r="J131" s="522"/>
      <c r="K131" s="522"/>
      <c r="L131" s="499">
        <v>2445000</v>
      </c>
      <c r="M131" s="404"/>
      <c r="N131" s="404"/>
      <c r="O131" s="404"/>
      <c r="P131" s="404"/>
      <c r="Q131" s="404"/>
      <c r="R131" s="404"/>
      <c r="S131" s="404"/>
      <c r="T131" s="319">
        <v>1425000</v>
      </c>
    </row>
    <row r="132" spans="1:20" ht="18.75">
      <c r="A132" s="293"/>
      <c r="B132" s="294"/>
      <c r="C132" s="293"/>
      <c r="D132" s="295"/>
      <c r="E132" s="295"/>
      <c r="F132" s="295"/>
      <c r="G132" s="295"/>
      <c r="H132" s="521" t="s">
        <v>576</v>
      </c>
      <c r="I132" s="522"/>
      <c r="J132" s="522"/>
      <c r="K132" s="522"/>
      <c r="L132" s="499">
        <v>7033000</v>
      </c>
      <c r="M132" s="404"/>
      <c r="N132" s="404"/>
      <c r="O132" s="404"/>
      <c r="P132" s="404"/>
      <c r="Q132" s="404"/>
      <c r="R132" s="404"/>
      <c r="S132" s="404"/>
      <c r="T132" s="319">
        <v>7033000</v>
      </c>
    </row>
    <row r="133" spans="1:20" ht="18.75">
      <c r="A133" s="293"/>
      <c r="B133" s="294"/>
      <c r="C133" s="293"/>
      <c r="D133" s="295"/>
      <c r="E133" s="295"/>
      <c r="F133" s="295"/>
      <c r="G133" s="295"/>
      <c r="H133" s="521" t="s">
        <v>577</v>
      </c>
      <c r="I133" s="522"/>
      <c r="J133" s="522"/>
      <c r="K133" s="522"/>
      <c r="L133" s="499">
        <v>4672000</v>
      </c>
      <c r="M133" s="404"/>
      <c r="N133" s="404"/>
      <c r="O133" s="404"/>
      <c r="P133" s="404"/>
      <c r="Q133" s="404"/>
      <c r="R133" s="404"/>
      <c r="S133" s="404"/>
      <c r="T133" s="319">
        <v>4456934</v>
      </c>
    </row>
    <row r="134" spans="1:20" ht="18.75">
      <c r="A134" s="293"/>
      <c r="B134" s="294"/>
      <c r="C134" s="293"/>
      <c r="D134" s="295"/>
      <c r="E134" s="295"/>
      <c r="F134" s="295"/>
      <c r="G134" s="295"/>
      <c r="H134" s="523" t="s">
        <v>578</v>
      </c>
      <c r="I134" s="524"/>
      <c r="J134" s="524"/>
      <c r="K134" s="524"/>
      <c r="L134" s="500">
        <f>L135+L136+L137+L138+L139+L140+L141+L142+L143+L144+L145+L146</f>
        <v>72509</v>
      </c>
      <c r="M134" s="404"/>
      <c r="N134" s="404"/>
      <c r="O134" s="404"/>
      <c r="P134" s="404"/>
      <c r="Q134" s="404"/>
      <c r="R134" s="404"/>
      <c r="S134" s="404"/>
      <c r="T134" s="502">
        <f>T135+T136+T137+T138+T139+T140+T141+T142+T143+T144+T145+T146</f>
        <v>70664.27</v>
      </c>
    </row>
    <row r="135" spans="1:20" ht="18.75">
      <c r="A135" s="293"/>
      <c r="B135" s="294"/>
      <c r="C135" s="293"/>
      <c r="D135" s="295"/>
      <c r="E135" s="295"/>
      <c r="F135" s="295"/>
      <c r="G135" s="295"/>
      <c r="H135" s="519" t="s">
        <v>579</v>
      </c>
      <c r="I135" s="520"/>
      <c r="J135" s="520"/>
      <c r="K135" s="520"/>
      <c r="L135" s="499">
        <v>949</v>
      </c>
      <c r="M135" s="404"/>
      <c r="N135" s="404"/>
      <c r="O135" s="404"/>
      <c r="P135" s="404"/>
      <c r="Q135" s="404"/>
      <c r="R135" s="404"/>
      <c r="S135" s="404"/>
      <c r="T135" s="499">
        <v>757</v>
      </c>
    </row>
    <row r="136" spans="1:20" ht="18.75">
      <c r="A136" s="293"/>
      <c r="B136" s="294"/>
      <c r="C136" s="293"/>
      <c r="D136" s="295"/>
      <c r="E136" s="295"/>
      <c r="F136" s="295"/>
      <c r="G136" s="295"/>
      <c r="H136" s="519" t="s">
        <v>580</v>
      </c>
      <c r="I136" s="520"/>
      <c r="J136" s="520"/>
      <c r="K136" s="520"/>
      <c r="L136" s="499">
        <v>364</v>
      </c>
      <c r="M136" s="404"/>
      <c r="N136" s="404"/>
      <c r="O136" s="404"/>
      <c r="P136" s="404"/>
      <c r="Q136" s="404"/>
      <c r="R136" s="404"/>
      <c r="S136" s="404"/>
      <c r="T136" s="319">
        <v>334.27</v>
      </c>
    </row>
    <row r="137" spans="1:20" ht="18.75">
      <c r="A137" s="293"/>
      <c r="B137" s="294"/>
      <c r="C137" s="293"/>
      <c r="D137" s="295"/>
      <c r="E137" s="295"/>
      <c r="F137" s="295"/>
      <c r="G137" s="295"/>
      <c r="H137" s="519" t="s">
        <v>581</v>
      </c>
      <c r="I137" s="520"/>
      <c r="J137" s="520"/>
      <c r="K137" s="520"/>
      <c r="L137" s="499">
        <v>942</v>
      </c>
      <c r="M137" s="404"/>
      <c r="N137" s="404"/>
      <c r="O137" s="404"/>
      <c r="P137" s="404"/>
      <c r="Q137" s="404"/>
      <c r="R137" s="404"/>
      <c r="S137" s="404"/>
      <c r="T137" s="501">
        <v>546.3</v>
      </c>
    </row>
    <row r="138" spans="1:20" ht="18.75">
      <c r="A138" s="293"/>
      <c r="B138" s="294"/>
      <c r="C138" s="293"/>
      <c r="D138" s="295"/>
      <c r="E138" s="295"/>
      <c r="F138" s="295"/>
      <c r="G138" s="295"/>
      <c r="H138" s="519" t="s">
        <v>582</v>
      </c>
      <c r="I138" s="520"/>
      <c r="J138" s="520"/>
      <c r="K138" s="520"/>
      <c r="L138" s="499">
        <v>7478</v>
      </c>
      <c r="M138" s="404"/>
      <c r="N138" s="404"/>
      <c r="O138" s="404"/>
      <c r="P138" s="404"/>
      <c r="Q138" s="404"/>
      <c r="R138" s="404"/>
      <c r="S138" s="404"/>
      <c r="T138" s="499">
        <v>6307</v>
      </c>
    </row>
    <row r="139" spans="1:20" ht="18.75">
      <c r="A139" s="293"/>
      <c r="B139" s="294"/>
      <c r="C139" s="293"/>
      <c r="D139" s="295"/>
      <c r="E139" s="295"/>
      <c r="F139" s="295"/>
      <c r="G139" s="295"/>
      <c r="H139" s="519" t="s">
        <v>583</v>
      </c>
      <c r="I139" s="520"/>
      <c r="J139" s="520"/>
      <c r="K139" s="520"/>
      <c r="L139" s="499">
        <v>2812</v>
      </c>
      <c r="M139" s="404"/>
      <c r="N139" s="404"/>
      <c r="O139" s="404"/>
      <c r="P139" s="404"/>
      <c r="Q139" s="404"/>
      <c r="R139" s="404"/>
      <c r="S139" s="404"/>
      <c r="T139" s="499">
        <v>2812</v>
      </c>
    </row>
    <row r="140" spans="1:20" ht="18.75">
      <c r="A140" s="293"/>
      <c r="B140" s="294"/>
      <c r="C140" s="293"/>
      <c r="D140" s="295"/>
      <c r="E140" s="295"/>
      <c r="F140" s="295"/>
      <c r="G140" s="295"/>
      <c r="H140" s="519" t="s">
        <v>584</v>
      </c>
      <c r="I140" s="520"/>
      <c r="J140" s="520"/>
      <c r="K140" s="520"/>
      <c r="L140" s="499">
        <v>31530</v>
      </c>
      <c r="M140" s="404"/>
      <c r="N140" s="404"/>
      <c r="O140" s="404"/>
      <c r="P140" s="404"/>
      <c r="Q140" s="404"/>
      <c r="R140" s="404"/>
      <c r="S140" s="404"/>
      <c r="T140" s="499">
        <f>12900+18575.7</f>
        <v>31475.7</v>
      </c>
    </row>
    <row r="141" spans="1:20" ht="18.75">
      <c r="A141" s="293"/>
      <c r="B141" s="294"/>
      <c r="C141" s="293"/>
      <c r="D141" s="295"/>
      <c r="E141" s="295"/>
      <c r="F141" s="295"/>
      <c r="G141" s="295"/>
      <c r="H141" s="519" t="s">
        <v>585</v>
      </c>
      <c r="I141" s="520"/>
      <c r="J141" s="520"/>
      <c r="K141" s="520"/>
      <c r="L141" s="499">
        <v>21576</v>
      </c>
      <c r="M141" s="404"/>
      <c r="N141" s="404"/>
      <c r="O141" s="404"/>
      <c r="P141" s="404"/>
      <c r="Q141" s="404"/>
      <c r="R141" s="404"/>
      <c r="S141" s="404"/>
      <c r="T141" s="499">
        <v>21576</v>
      </c>
    </row>
    <row r="142" spans="1:20" ht="18.75">
      <c r="A142" s="293"/>
      <c r="B142" s="294"/>
      <c r="C142" s="293"/>
      <c r="D142" s="295"/>
      <c r="E142" s="295"/>
      <c r="F142" s="295"/>
      <c r="G142" s="295"/>
      <c r="H142" s="519" t="s">
        <v>586</v>
      </c>
      <c r="I142" s="520"/>
      <c r="J142" s="520"/>
      <c r="K142" s="520"/>
      <c r="L142" s="499">
        <v>5615</v>
      </c>
      <c r="M142" s="404"/>
      <c r="N142" s="404"/>
      <c r="O142" s="404"/>
      <c r="P142" s="404"/>
      <c r="Q142" s="404"/>
      <c r="R142" s="404"/>
      <c r="S142" s="404"/>
      <c r="T142" s="499">
        <v>5615</v>
      </c>
    </row>
    <row r="143" spans="1:20" ht="18.75">
      <c r="A143" s="293"/>
      <c r="B143" s="294"/>
      <c r="C143" s="293"/>
      <c r="D143" s="295"/>
      <c r="E143" s="295"/>
      <c r="F143" s="295"/>
      <c r="G143" s="295"/>
      <c r="H143" s="519" t="s">
        <v>587</v>
      </c>
      <c r="I143" s="520"/>
      <c r="J143" s="520"/>
      <c r="K143" s="520"/>
      <c r="L143" s="499">
        <v>96</v>
      </c>
      <c r="M143" s="404"/>
      <c r="N143" s="404"/>
      <c r="O143" s="404"/>
      <c r="P143" s="404"/>
      <c r="Q143" s="404"/>
      <c r="R143" s="404"/>
      <c r="S143" s="404"/>
      <c r="T143" s="499">
        <v>94</v>
      </c>
    </row>
    <row r="144" spans="1:20" ht="18.75">
      <c r="A144" s="293"/>
      <c r="B144" s="294"/>
      <c r="C144" s="293"/>
      <c r="D144" s="295"/>
      <c r="E144" s="295"/>
      <c r="F144" s="295"/>
      <c r="G144" s="295"/>
      <c r="H144" s="519" t="s">
        <v>588</v>
      </c>
      <c r="I144" s="520"/>
      <c r="J144" s="520"/>
      <c r="K144" s="520"/>
      <c r="L144" s="499">
        <v>67</v>
      </c>
      <c r="M144" s="404"/>
      <c r="N144" s="404"/>
      <c r="O144" s="404"/>
      <c r="P144" s="404"/>
      <c r="Q144" s="404"/>
      <c r="R144" s="404"/>
      <c r="S144" s="404"/>
      <c r="T144" s="499">
        <v>67</v>
      </c>
    </row>
    <row r="145" spans="1:20" ht="18.75">
      <c r="A145" s="293"/>
      <c r="B145" s="294"/>
      <c r="C145" s="293"/>
      <c r="D145" s="295"/>
      <c r="E145" s="295"/>
      <c r="F145" s="295"/>
      <c r="G145" s="295"/>
      <c r="H145" s="516" t="s">
        <v>589</v>
      </c>
      <c r="I145" s="517"/>
      <c r="J145" s="517"/>
      <c r="K145" s="518"/>
      <c r="L145" s="499">
        <v>392</v>
      </c>
      <c r="M145" s="404"/>
      <c r="N145" s="404"/>
      <c r="O145" s="404"/>
      <c r="P145" s="404"/>
      <c r="Q145" s="404"/>
      <c r="R145" s="404"/>
      <c r="S145" s="404"/>
      <c r="T145" s="499">
        <v>392</v>
      </c>
    </row>
    <row r="146" spans="1:20" ht="18.75">
      <c r="A146" s="293"/>
      <c r="B146" s="294"/>
      <c r="C146" s="293"/>
      <c r="D146" s="295"/>
      <c r="E146" s="295"/>
      <c r="F146" s="295"/>
      <c r="G146" s="295"/>
      <c r="H146" s="519" t="s">
        <v>590</v>
      </c>
      <c r="I146" s="520"/>
      <c r="J146" s="520"/>
      <c r="K146" s="520"/>
      <c r="L146" s="499">
        <v>688</v>
      </c>
      <c r="M146" s="404"/>
      <c r="N146" s="404"/>
      <c r="O146" s="404"/>
      <c r="P146" s="404"/>
      <c r="Q146" s="404"/>
      <c r="R146" s="404"/>
      <c r="S146" s="404"/>
      <c r="T146" s="499">
        <v>688</v>
      </c>
    </row>
    <row r="147" spans="1:19" ht="18.75">
      <c r="A147" s="293"/>
      <c r="B147" s="294"/>
      <c r="C147" s="293"/>
      <c r="D147" s="295"/>
      <c r="E147" s="295"/>
      <c r="F147" s="295"/>
      <c r="G147" s="295"/>
      <c r="H147" s="295"/>
      <c r="I147" s="295"/>
      <c r="J147" s="295"/>
      <c r="K147" s="295"/>
      <c r="L147" s="289"/>
      <c r="M147" s="404"/>
      <c r="N147" s="404"/>
      <c r="O147" s="404"/>
      <c r="P147" s="404"/>
      <c r="Q147" s="404"/>
      <c r="R147" s="404"/>
      <c r="S147" s="404"/>
    </row>
    <row r="148" spans="1:19" ht="18.75">
      <c r="A148" s="293"/>
      <c r="B148" s="294"/>
      <c r="C148" s="293"/>
      <c r="D148" s="295"/>
      <c r="E148" s="295"/>
      <c r="F148" s="295"/>
      <c r="G148" s="295"/>
      <c r="H148" s="295"/>
      <c r="I148" s="295"/>
      <c r="J148" s="295"/>
      <c r="K148" s="295"/>
      <c r="L148" s="289"/>
      <c r="M148" s="404"/>
      <c r="N148" s="404"/>
      <c r="O148" s="404"/>
      <c r="P148" s="404"/>
      <c r="Q148" s="404"/>
      <c r="R148" s="404"/>
      <c r="S148" s="404"/>
    </row>
    <row r="149" spans="1:19" ht="18.75">
      <c r="A149" s="293"/>
      <c r="B149" s="294"/>
      <c r="C149" s="293"/>
      <c r="D149" s="295"/>
      <c r="E149" s="295"/>
      <c r="F149" s="295"/>
      <c r="G149" s="295"/>
      <c r="H149" s="295"/>
      <c r="I149" s="295"/>
      <c r="J149" s="295"/>
      <c r="K149" s="295"/>
      <c r="L149" s="289"/>
      <c r="M149" s="404"/>
      <c r="N149" s="404"/>
      <c r="O149" s="404"/>
      <c r="P149" s="404"/>
      <c r="Q149" s="404"/>
      <c r="R149" s="404"/>
      <c r="S149" s="404"/>
    </row>
    <row r="150" spans="1:19" ht="18.75">
      <c r="A150" s="293"/>
      <c r="B150" s="294"/>
      <c r="C150" s="293"/>
      <c r="D150" s="295"/>
      <c r="E150" s="295"/>
      <c r="F150" s="295"/>
      <c r="G150" s="295"/>
      <c r="H150" s="295"/>
      <c r="I150" s="295"/>
      <c r="J150" s="295"/>
      <c r="K150" s="295"/>
      <c r="L150" s="289"/>
      <c r="M150" s="404"/>
      <c r="N150" s="404"/>
      <c r="O150" s="404"/>
      <c r="P150" s="404"/>
      <c r="Q150" s="404"/>
      <c r="R150" s="404"/>
      <c r="S150" s="404"/>
    </row>
    <row r="151" spans="1:19" ht="18.75">
      <c r="A151" s="293"/>
      <c r="B151" s="294"/>
      <c r="C151" s="293"/>
      <c r="D151" s="295"/>
      <c r="E151" s="295"/>
      <c r="F151" s="295"/>
      <c r="G151" s="295"/>
      <c r="H151" s="295"/>
      <c r="I151" s="295"/>
      <c r="J151" s="295"/>
      <c r="K151" s="295"/>
      <c r="L151" s="289"/>
      <c r="M151" s="404"/>
      <c r="N151" s="404"/>
      <c r="O151" s="404"/>
      <c r="P151" s="404"/>
      <c r="Q151" s="404"/>
      <c r="R151" s="404"/>
      <c r="S151" s="404"/>
    </row>
    <row r="152" spans="1:19" ht="18.75">
      <c r="A152" s="293"/>
      <c r="B152" s="294"/>
      <c r="C152" s="293"/>
      <c r="D152" s="295"/>
      <c r="E152" s="295"/>
      <c r="F152" s="295"/>
      <c r="G152" s="295"/>
      <c r="H152" s="295"/>
      <c r="I152" s="295"/>
      <c r="J152" s="295"/>
      <c r="K152" s="295"/>
      <c r="L152" s="289"/>
      <c r="M152" s="404"/>
      <c r="N152" s="404"/>
      <c r="O152" s="404"/>
      <c r="P152" s="404"/>
      <c r="Q152" s="404"/>
      <c r="R152" s="404"/>
      <c r="S152" s="404"/>
    </row>
    <row r="153" spans="1:19" ht="18.75">
      <c r="A153" s="293"/>
      <c r="B153" s="294"/>
      <c r="C153" s="293"/>
      <c r="D153" s="295"/>
      <c r="E153" s="295"/>
      <c r="F153" s="295"/>
      <c r="G153" s="295"/>
      <c r="H153" s="295"/>
      <c r="I153" s="295"/>
      <c r="J153" s="295"/>
      <c r="K153" s="295"/>
      <c r="L153" s="289"/>
      <c r="M153" s="404"/>
      <c r="N153" s="404"/>
      <c r="O153" s="404"/>
      <c r="P153" s="404"/>
      <c r="Q153" s="404"/>
      <c r="R153" s="404"/>
      <c r="S153" s="404"/>
    </row>
    <row r="154" spans="1:19" ht="18.75">
      <c r="A154" s="293"/>
      <c r="B154" s="294"/>
      <c r="C154" s="293"/>
      <c r="D154" s="295"/>
      <c r="E154" s="295"/>
      <c r="F154" s="295"/>
      <c r="G154" s="295"/>
      <c r="H154" s="295"/>
      <c r="I154" s="295"/>
      <c r="J154" s="295"/>
      <c r="K154" s="295"/>
      <c r="L154" s="289"/>
      <c r="M154" s="404"/>
      <c r="N154" s="404"/>
      <c r="O154" s="404"/>
      <c r="P154" s="404"/>
      <c r="Q154" s="404"/>
      <c r="R154" s="404"/>
      <c r="S154" s="404"/>
    </row>
    <row r="155" spans="1:19" ht="18.75">
      <c r="A155" s="293"/>
      <c r="B155" s="294"/>
      <c r="C155" s="293"/>
      <c r="D155" s="295"/>
      <c r="E155" s="295"/>
      <c r="F155" s="295"/>
      <c r="G155" s="295"/>
      <c r="H155" s="295"/>
      <c r="I155" s="295"/>
      <c r="J155" s="295"/>
      <c r="K155" s="295"/>
      <c r="L155" s="289"/>
      <c r="M155" s="404"/>
      <c r="N155" s="404"/>
      <c r="O155" s="404"/>
      <c r="P155" s="404"/>
      <c r="Q155" s="404"/>
      <c r="R155" s="404"/>
      <c r="S155" s="404"/>
    </row>
    <row r="156" spans="1:19" ht="18.75">
      <c r="A156" s="293"/>
      <c r="B156" s="294"/>
      <c r="C156" s="293"/>
      <c r="D156" s="295"/>
      <c r="E156" s="295"/>
      <c r="F156" s="295"/>
      <c r="G156" s="295"/>
      <c r="H156" s="295"/>
      <c r="I156" s="295"/>
      <c r="J156" s="295"/>
      <c r="K156" s="295"/>
      <c r="L156" s="289"/>
      <c r="M156" s="404"/>
      <c r="N156" s="404"/>
      <c r="O156" s="404"/>
      <c r="P156" s="404"/>
      <c r="Q156" s="404"/>
      <c r="R156" s="404"/>
      <c r="S156" s="404"/>
    </row>
    <row r="157" spans="1:19" ht="18.75">
      <c r="A157" s="293"/>
      <c r="B157" s="294"/>
      <c r="C157" s="293"/>
      <c r="D157" s="295"/>
      <c r="E157" s="295"/>
      <c r="F157" s="295"/>
      <c r="G157" s="295"/>
      <c r="H157" s="295"/>
      <c r="I157" s="295"/>
      <c r="J157" s="295"/>
      <c r="K157" s="295"/>
      <c r="L157" s="289"/>
      <c r="M157" s="404"/>
      <c r="N157" s="404"/>
      <c r="O157" s="404"/>
      <c r="P157" s="404"/>
      <c r="Q157" s="404"/>
      <c r="R157" s="404"/>
      <c r="S157" s="404"/>
    </row>
    <row r="158" spans="1:19" ht="18.75">
      <c r="A158" s="293"/>
      <c r="B158" s="294"/>
      <c r="C158" s="293"/>
      <c r="D158" s="295"/>
      <c r="E158" s="295"/>
      <c r="F158" s="295"/>
      <c r="G158" s="295"/>
      <c r="H158" s="295"/>
      <c r="I158" s="295"/>
      <c r="J158" s="295"/>
      <c r="K158" s="295"/>
      <c r="L158" s="289"/>
      <c r="M158" s="404"/>
      <c r="N158" s="404"/>
      <c r="O158" s="404"/>
      <c r="P158" s="404"/>
      <c r="Q158" s="404"/>
      <c r="R158" s="404"/>
      <c r="S158" s="404"/>
    </row>
    <row r="159" spans="1:19" ht="18.75">
      <c r="A159" s="293"/>
      <c r="B159" s="294"/>
      <c r="C159" s="293"/>
      <c r="D159" s="295"/>
      <c r="E159" s="295"/>
      <c r="F159" s="295"/>
      <c r="G159" s="295"/>
      <c r="H159" s="295"/>
      <c r="I159" s="295"/>
      <c r="J159" s="295"/>
      <c r="K159" s="295"/>
      <c r="L159" s="289"/>
      <c r="M159" s="404"/>
      <c r="N159" s="404"/>
      <c r="O159" s="404"/>
      <c r="P159" s="404"/>
      <c r="Q159" s="404"/>
      <c r="R159" s="404"/>
      <c r="S159" s="404"/>
    </row>
    <row r="160" spans="1:19" ht="18.75">
      <c r="A160" s="293"/>
      <c r="B160" s="294"/>
      <c r="C160" s="293"/>
      <c r="D160" s="295"/>
      <c r="E160" s="295"/>
      <c r="F160" s="295"/>
      <c r="G160" s="295"/>
      <c r="H160" s="295"/>
      <c r="I160" s="295"/>
      <c r="J160" s="295"/>
      <c r="K160" s="295"/>
      <c r="L160" s="289"/>
      <c r="M160" s="404"/>
      <c r="N160" s="404"/>
      <c r="O160" s="404"/>
      <c r="P160" s="404"/>
      <c r="Q160" s="404"/>
      <c r="R160" s="404"/>
      <c r="S160" s="404"/>
    </row>
    <row r="161" spans="1:19" ht="18.75">
      <c r="A161" s="293"/>
      <c r="B161" s="294"/>
      <c r="C161" s="293"/>
      <c r="D161" s="295"/>
      <c r="E161" s="295"/>
      <c r="F161" s="295"/>
      <c r="G161" s="295"/>
      <c r="H161" s="295"/>
      <c r="I161" s="295"/>
      <c r="J161" s="295"/>
      <c r="K161" s="295"/>
      <c r="L161" s="289"/>
      <c r="M161" s="404"/>
      <c r="N161" s="404"/>
      <c r="O161" s="404"/>
      <c r="P161" s="404"/>
      <c r="Q161" s="404"/>
      <c r="R161" s="404"/>
      <c r="S161" s="404"/>
    </row>
    <row r="162" spans="1:19" ht="18.75">
      <c r="A162" s="293"/>
      <c r="B162" s="294"/>
      <c r="C162" s="293"/>
      <c r="D162" s="295"/>
      <c r="E162" s="295"/>
      <c r="F162" s="295"/>
      <c r="G162" s="295"/>
      <c r="H162" s="295"/>
      <c r="I162" s="295"/>
      <c r="J162" s="295"/>
      <c r="K162" s="295"/>
      <c r="L162" s="289"/>
      <c r="M162" s="404"/>
      <c r="N162" s="404"/>
      <c r="O162" s="404"/>
      <c r="P162" s="404"/>
      <c r="Q162" s="404"/>
      <c r="R162" s="404"/>
      <c r="S162" s="404"/>
    </row>
    <row r="163" spans="1:19" ht="18.75">
      <c r="A163" s="293"/>
      <c r="B163" s="294"/>
      <c r="C163" s="293"/>
      <c r="D163" s="295"/>
      <c r="E163" s="295"/>
      <c r="F163" s="295"/>
      <c r="G163" s="295"/>
      <c r="H163" s="295"/>
      <c r="I163" s="295"/>
      <c r="J163" s="295"/>
      <c r="K163" s="295"/>
      <c r="L163" s="289"/>
      <c r="M163" s="404"/>
      <c r="N163" s="404"/>
      <c r="O163" s="404"/>
      <c r="P163" s="404"/>
      <c r="Q163" s="404"/>
      <c r="R163" s="404"/>
      <c r="S163" s="404"/>
    </row>
    <row r="164" spans="1:19" ht="18.75">
      <c r="A164" s="293"/>
      <c r="B164" s="294"/>
      <c r="C164" s="293"/>
      <c r="D164" s="295"/>
      <c r="E164" s="295"/>
      <c r="F164" s="295"/>
      <c r="G164" s="295"/>
      <c r="H164" s="295"/>
      <c r="I164" s="295"/>
      <c r="J164" s="295"/>
      <c r="K164" s="295"/>
      <c r="L164" s="404"/>
      <c r="M164" s="404"/>
      <c r="N164" s="404"/>
      <c r="O164" s="404"/>
      <c r="P164" s="404"/>
      <c r="Q164" s="404"/>
      <c r="R164" s="404"/>
      <c r="S164" s="404"/>
    </row>
    <row r="165" spans="1:19" ht="18.75">
      <c r="A165" s="293"/>
      <c r="B165" s="294"/>
      <c r="C165" s="293"/>
      <c r="D165" s="295"/>
      <c r="E165" s="295"/>
      <c r="F165" s="295"/>
      <c r="G165" s="295"/>
      <c r="H165" s="295"/>
      <c r="I165" s="295"/>
      <c r="J165" s="295"/>
      <c r="K165" s="295"/>
      <c r="L165" s="404"/>
      <c r="M165" s="404"/>
      <c r="N165" s="404"/>
      <c r="O165" s="404"/>
      <c r="P165" s="404"/>
      <c r="Q165" s="404"/>
      <c r="R165" s="404"/>
      <c r="S165" s="404"/>
    </row>
    <row r="166" spans="1:19" ht="18.75">
      <c r="A166" s="293"/>
      <c r="B166" s="294"/>
      <c r="C166" s="293"/>
      <c r="D166" s="295"/>
      <c r="E166" s="295"/>
      <c r="F166" s="295"/>
      <c r="G166" s="295"/>
      <c r="H166" s="295"/>
      <c r="I166" s="295"/>
      <c r="J166" s="295"/>
      <c r="K166" s="295"/>
      <c r="L166" s="404"/>
      <c r="M166" s="404"/>
      <c r="N166" s="404"/>
      <c r="O166" s="404"/>
      <c r="P166" s="404"/>
      <c r="Q166" s="404"/>
      <c r="R166" s="404"/>
      <c r="S166" s="404"/>
    </row>
    <row r="167" spans="1:19" ht="18.75">
      <c r="A167" s="293"/>
      <c r="B167" s="294"/>
      <c r="C167" s="293"/>
      <c r="D167" s="295"/>
      <c r="E167" s="295"/>
      <c r="F167" s="295"/>
      <c r="G167" s="295"/>
      <c r="H167" s="295"/>
      <c r="I167" s="295"/>
      <c r="J167" s="295"/>
      <c r="K167" s="295"/>
      <c r="L167" s="404"/>
      <c r="M167" s="404"/>
      <c r="N167" s="404"/>
      <c r="O167" s="404"/>
      <c r="P167" s="404"/>
      <c r="Q167" s="404"/>
      <c r="R167" s="404"/>
      <c r="S167" s="404"/>
    </row>
    <row r="168" spans="1:19" ht="18.75">
      <c r="A168" s="293"/>
      <c r="B168" s="294"/>
      <c r="C168" s="293"/>
      <c r="D168" s="295"/>
      <c r="E168" s="295"/>
      <c r="F168" s="295"/>
      <c r="G168" s="295"/>
      <c r="H168" s="295"/>
      <c r="I168" s="295"/>
      <c r="J168" s="295"/>
      <c r="K168" s="295"/>
      <c r="L168" s="404"/>
      <c r="M168" s="404"/>
      <c r="N168" s="404"/>
      <c r="O168" s="404"/>
      <c r="P168" s="404"/>
      <c r="Q168" s="404"/>
      <c r="R168" s="404"/>
      <c r="S168" s="404"/>
    </row>
    <row r="169" spans="1:19" ht="18.75">
      <c r="A169" s="293"/>
      <c r="B169" s="294"/>
      <c r="C169" s="293"/>
      <c r="D169" s="295"/>
      <c r="E169" s="295"/>
      <c r="F169" s="295"/>
      <c r="G169" s="295"/>
      <c r="H169" s="295"/>
      <c r="I169" s="295"/>
      <c r="J169" s="295"/>
      <c r="K169" s="295"/>
      <c r="L169" s="404"/>
      <c r="M169" s="404"/>
      <c r="N169" s="404"/>
      <c r="O169" s="404"/>
      <c r="P169" s="404"/>
      <c r="Q169" s="404"/>
      <c r="R169" s="404"/>
      <c r="S169" s="404"/>
    </row>
    <row r="170" spans="1:19" ht="18.75">
      <c r="A170" s="293"/>
      <c r="B170" s="294"/>
      <c r="C170" s="293"/>
      <c r="D170" s="295"/>
      <c r="E170" s="295"/>
      <c r="F170" s="295"/>
      <c r="G170" s="295"/>
      <c r="H170" s="295"/>
      <c r="I170" s="295"/>
      <c r="J170" s="295"/>
      <c r="K170" s="295"/>
      <c r="L170" s="404"/>
      <c r="M170" s="404"/>
      <c r="N170" s="404"/>
      <c r="O170" s="404"/>
      <c r="P170" s="404"/>
      <c r="Q170" s="404"/>
      <c r="R170" s="404"/>
      <c r="S170" s="404"/>
    </row>
    <row r="171" spans="1:19" ht="18.75">
      <c r="A171" s="293"/>
      <c r="B171" s="294"/>
      <c r="C171" s="293"/>
      <c r="D171" s="295"/>
      <c r="E171" s="295"/>
      <c r="F171" s="295"/>
      <c r="G171" s="295"/>
      <c r="H171" s="295"/>
      <c r="I171" s="295"/>
      <c r="J171" s="295"/>
      <c r="K171" s="295"/>
      <c r="L171" s="404"/>
      <c r="M171" s="404"/>
      <c r="N171" s="404"/>
      <c r="O171" s="404"/>
      <c r="P171" s="404"/>
      <c r="Q171" s="404"/>
      <c r="R171" s="404"/>
      <c r="S171" s="404"/>
    </row>
    <row r="172" spans="1:19" ht="18.75">
      <c r="A172" s="293"/>
      <c r="B172" s="294"/>
      <c r="C172" s="293"/>
      <c r="D172" s="295"/>
      <c r="E172" s="295"/>
      <c r="F172" s="295"/>
      <c r="G172" s="295"/>
      <c r="H172" s="295"/>
      <c r="I172" s="295"/>
      <c r="J172" s="295"/>
      <c r="K172" s="295"/>
      <c r="L172" s="404"/>
      <c r="M172" s="404"/>
      <c r="N172" s="404"/>
      <c r="O172" s="404"/>
      <c r="P172" s="404"/>
      <c r="Q172" s="404"/>
      <c r="R172" s="404"/>
      <c r="S172" s="404"/>
    </row>
    <row r="173" spans="1:19" ht="18.75">
      <c r="A173" s="293"/>
      <c r="B173" s="294"/>
      <c r="C173" s="293"/>
      <c r="D173" s="295"/>
      <c r="E173" s="295"/>
      <c r="F173" s="295"/>
      <c r="G173" s="295"/>
      <c r="H173" s="295"/>
      <c r="I173" s="295"/>
      <c r="J173" s="295"/>
      <c r="K173" s="295"/>
      <c r="L173" s="404"/>
      <c r="M173" s="404"/>
      <c r="N173" s="404"/>
      <c r="O173" s="404"/>
      <c r="P173" s="404"/>
      <c r="Q173" s="404"/>
      <c r="R173" s="404"/>
      <c r="S173" s="404"/>
    </row>
    <row r="174" spans="1:19" ht="18.75">
      <c r="A174" s="293"/>
      <c r="B174" s="294"/>
      <c r="C174" s="293"/>
      <c r="D174" s="295"/>
      <c r="E174" s="295"/>
      <c r="F174" s="295"/>
      <c r="G174" s="295"/>
      <c r="H174" s="295"/>
      <c r="I174" s="295"/>
      <c r="J174" s="295"/>
      <c r="K174" s="295"/>
      <c r="L174" s="404"/>
      <c r="M174" s="404"/>
      <c r="N174" s="404"/>
      <c r="O174" s="404"/>
      <c r="P174" s="404"/>
      <c r="Q174" s="404"/>
      <c r="R174" s="404"/>
      <c r="S174" s="404"/>
    </row>
    <row r="175" spans="1:19" ht="18.75">
      <c r="A175" s="293"/>
      <c r="B175" s="294"/>
      <c r="C175" s="293"/>
      <c r="D175" s="295"/>
      <c r="E175" s="295"/>
      <c r="F175" s="295"/>
      <c r="G175" s="295"/>
      <c r="H175" s="295"/>
      <c r="I175" s="295"/>
      <c r="J175" s="295"/>
      <c r="K175" s="295"/>
      <c r="L175" s="404"/>
      <c r="M175" s="404"/>
      <c r="N175" s="404"/>
      <c r="O175" s="404"/>
      <c r="P175" s="404"/>
      <c r="Q175" s="404"/>
      <c r="R175" s="404"/>
      <c r="S175" s="404"/>
    </row>
    <row r="176" spans="1:19" ht="18.75">
      <c r="A176" s="293"/>
      <c r="B176" s="294"/>
      <c r="C176" s="293"/>
      <c r="D176" s="295"/>
      <c r="E176" s="295"/>
      <c r="F176" s="295"/>
      <c r="G176" s="295"/>
      <c r="H176" s="295"/>
      <c r="I176" s="295"/>
      <c r="J176" s="295"/>
      <c r="K176" s="295"/>
      <c r="L176" s="404"/>
      <c r="M176" s="404"/>
      <c r="N176" s="404"/>
      <c r="O176" s="404"/>
      <c r="P176" s="404"/>
      <c r="Q176" s="404"/>
      <c r="R176" s="404"/>
      <c r="S176" s="404"/>
    </row>
    <row r="177" spans="1:19" ht="18.75">
      <c r="A177" s="293"/>
      <c r="B177" s="294"/>
      <c r="C177" s="293"/>
      <c r="D177" s="295"/>
      <c r="E177" s="295"/>
      <c r="F177" s="295"/>
      <c r="G177" s="295"/>
      <c r="H177" s="295"/>
      <c r="I177" s="295"/>
      <c r="J177" s="295"/>
      <c r="K177" s="295"/>
      <c r="L177" s="404"/>
      <c r="M177" s="404"/>
      <c r="N177" s="404"/>
      <c r="O177" s="404"/>
      <c r="P177" s="404"/>
      <c r="Q177" s="404"/>
      <c r="R177" s="404"/>
      <c r="S177" s="404"/>
    </row>
    <row r="178" spans="1:19" ht="18.75">
      <c r="A178" s="293"/>
      <c r="B178" s="294"/>
      <c r="C178" s="293"/>
      <c r="D178" s="295"/>
      <c r="E178" s="295"/>
      <c r="F178" s="295"/>
      <c r="G178" s="295"/>
      <c r="H178" s="295"/>
      <c r="I178" s="295"/>
      <c r="J178" s="295"/>
      <c r="K178" s="295"/>
      <c r="L178" s="404"/>
      <c r="M178" s="404"/>
      <c r="N178" s="404"/>
      <c r="O178" s="404"/>
      <c r="P178" s="404"/>
      <c r="Q178" s="404"/>
      <c r="R178" s="404"/>
      <c r="S178" s="404"/>
    </row>
    <row r="179" spans="1:19" ht="18.75">
      <c r="A179" s="293"/>
      <c r="B179" s="294"/>
      <c r="C179" s="293"/>
      <c r="D179" s="295"/>
      <c r="E179" s="295"/>
      <c r="F179" s="295"/>
      <c r="G179" s="295"/>
      <c r="H179" s="295"/>
      <c r="I179" s="295"/>
      <c r="J179" s="295"/>
      <c r="K179" s="295"/>
      <c r="L179" s="404"/>
      <c r="M179" s="404"/>
      <c r="N179" s="404"/>
      <c r="O179" s="404"/>
      <c r="P179" s="404"/>
      <c r="Q179" s="404"/>
      <c r="R179" s="404"/>
      <c r="S179" s="404"/>
    </row>
    <row r="180" spans="1:19" ht="18.75">
      <c r="A180" s="293"/>
      <c r="B180" s="294"/>
      <c r="C180" s="293"/>
      <c r="D180" s="295"/>
      <c r="E180" s="295"/>
      <c r="F180" s="295"/>
      <c r="G180" s="295"/>
      <c r="H180" s="295"/>
      <c r="I180" s="295"/>
      <c r="J180" s="295"/>
      <c r="K180" s="295"/>
      <c r="L180" s="404"/>
      <c r="M180" s="404"/>
      <c r="N180" s="404"/>
      <c r="O180" s="404"/>
      <c r="P180" s="404"/>
      <c r="Q180" s="404"/>
      <c r="R180" s="404"/>
      <c r="S180" s="404"/>
    </row>
    <row r="181" spans="1:19" ht="18.75">
      <c r="A181" s="293"/>
      <c r="B181" s="294"/>
      <c r="C181" s="293"/>
      <c r="D181" s="295"/>
      <c r="E181" s="295"/>
      <c r="F181" s="295"/>
      <c r="G181" s="295"/>
      <c r="H181" s="295"/>
      <c r="I181" s="295"/>
      <c r="J181" s="295"/>
      <c r="K181" s="295"/>
      <c r="L181" s="404"/>
      <c r="M181" s="404"/>
      <c r="N181" s="404"/>
      <c r="O181" s="404"/>
      <c r="P181" s="404"/>
      <c r="Q181" s="404"/>
      <c r="R181" s="404"/>
      <c r="S181" s="404"/>
    </row>
    <row r="182" spans="1:19" ht="18.75">
      <c r="A182" s="293"/>
      <c r="B182" s="294"/>
      <c r="C182" s="293"/>
      <c r="D182" s="295"/>
      <c r="E182" s="295"/>
      <c r="F182" s="295"/>
      <c r="G182" s="295"/>
      <c r="H182" s="295"/>
      <c r="I182" s="295"/>
      <c r="J182" s="295"/>
      <c r="K182" s="295"/>
      <c r="L182" s="404"/>
      <c r="M182" s="404"/>
      <c r="N182" s="404"/>
      <c r="O182" s="404"/>
      <c r="P182" s="404"/>
      <c r="Q182" s="404"/>
      <c r="R182" s="404"/>
      <c r="S182" s="404"/>
    </row>
    <row r="183" spans="1:19" ht="18.75">
      <c r="A183" s="293"/>
      <c r="B183" s="294"/>
      <c r="C183" s="293"/>
      <c r="D183" s="295"/>
      <c r="E183" s="295"/>
      <c r="F183" s="295"/>
      <c r="G183" s="295"/>
      <c r="H183" s="295"/>
      <c r="I183" s="295"/>
      <c r="J183" s="295"/>
      <c r="K183" s="295"/>
      <c r="L183" s="404"/>
      <c r="M183" s="404"/>
      <c r="N183" s="404"/>
      <c r="O183" s="404"/>
      <c r="P183" s="404"/>
      <c r="Q183" s="404"/>
      <c r="R183" s="404"/>
      <c r="S183" s="404"/>
    </row>
    <row r="184" spans="1:19" ht="18.75">
      <c r="A184" s="293"/>
      <c r="B184" s="294"/>
      <c r="C184" s="293"/>
      <c r="D184" s="295"/>
      <c r="E184" s="295"/>
      <c r="F184" s="295"/>
      <c r="G184" s="295"/>
      <c r="H184" s="295"/>
      <c r="I184" s="295"/>
      <c r="J184" s="295"/>
      <c r="K184" s="295"/>
      <c r="L184" s="404"/>
      <c r="M184" s="404"/>
      <c r="N184" s="404"/>
      <c r="O184" s="404"/>
      <c r="P184" s="404"/>
      <c r="Q184" s="404"/>
      <c r="R184" s="404"/>
      <c r="S184" s="404"/>
    </row>
    <row r="185" spans="1:19" ht="18.75">
      <c r="A185" s="293"/>
      <c r="B185" s="294"/>
      <c r="C185" s="293"/>
      <c r="D185" s="295"/>
      <c r="E185" s="295"/>
      <c r="F185" s="295"/>
      <c r="G185" s="295"/>
      <c r="H185" s="295"/>
      <c r="I185" s="295"/>
      <c r="J185" s="295"/>
      <c r="K185" s="295"/>
      <c r="L185" s="404"/>
      <c r="M185" s="404"/>
      <c r="N185" s="404"/>
      <c r="O185" s="404"/>
      <c r="P185" s="404"/>
      <c r="Q185" s="404"/>
      <c r="R185" s="404"/>
      <c r="S185" s="404"/>
    </row>
    <row r="186" spans="1:19" ht="18.75">
      <c r="A186" s="293"/>
      <c r="B186" s="294"/>
      <c r="C186" s="293"/>
      <c r="D186" s="295"/>
      <c r="E186" s="295"/>
      <c r="F186" s="295"/>
      <c r="G186" s="295"/>
      <c r="H186" s="295"/>
      <c r="I186" s="295"/>
      <c r="J186" s="295"/>
      <c r="K186" s="295"/>
      <c r="L186" s="404"/>
      <c r="M186" s="404"/>
      <c r="N186" s="404"/>
      <c r="O186" s="404"/>
      <c r="P186" s="404"/>
      <c r="Q186" s="404"/>
      <c r="R186" s="404"/>
      <c r="S186" s="404"/>
    </row>
    <row r="187" spans="1:19" ht="18.75">
      <c r="A187" s="293"/>
      <c r="B187" s="294"/>
      <c r="C187" s="293"/>
      <c r="D187" s="295"/>
      <c r="E187" s="295"/>
      <c r="F187" s="295"/>
      <c r="G187" s="295"/>
      <c r="H187" s="295"/>
      <c r="I187" s="295"/>
      <c r="J187" s="295"/>
      <c r="K187" s="295"/>
      <c r="L187" s="404"/>
      <c r="M187" s="404"/>
      <c r="N187" s="404"/>
      <c r="O187" s="404"/>
      <c r="P187" s="404"/>
      <c r="Q187" s="404"/>
      <c r="R187" s="404"/>
      <c r="S187" s="404"/>
    </row>
    <row r="188" spans="1:19" ht="18.75">
      <c r="A188" s="293"/>
      <c r="B188" s="294"/>
      <c r="C188" s="293"/>
      <c r="D188" s="295"/>
      <c r="E188" s="295"/>
      <c r="F188" s="295"/>
      <c r="G188" s="295"/>
      <c r="H188" s="295"/>
      <c r="I188" s="295"/>
      <c r="J188" s="295"/>
      <c r="K188" s="295"/>
      <c r="L188" s="404"/>
      <c r="M188" s="404"/>
      <c r="N188" s="404"/>
      <c r="O188" s="404"/>
      <c r="P188" s="404"/>
      <c r="Q188" s="404"/>
      <c r="R188" s="404"/>
      <c r="S188" s="404"/>
    </row>
    <row r="189" spans="1:19" ht="18.75">
      <c r="A189" s="293"/>
      <c r="B189" s="294"/>
      <c r="C189" s="293"/>
      <c r="D189" s="295"/>
      <c r="E189" s="295"/>
      <c r="F189" s="295"/>
      <c r="G189" s="295"/>
      <c r="H189" s="295"/>
      <c r="I189" s="295"/>
      <c r="J189" s="295"/>
      <c r="K189" s="295"/>
      <c r="L189" s="404"/>
      <c r="M189" s="404"/>
      <c r="N189" s="404"/>
      <c r="O189" s="404"/>
      <c r="P189" s="404"/>
      <c r="Q189" s="404"/>
      <c r="R189" s="404"/>
      <c r="S189" s="404"/>
    </row>
    <row r="190" spans="1:19" ht="18.75">
      <c r="A190" s="293"/>
      <c r="B190" s="294"/>
      <c r="C190" s="293"/>
      <c r="D190" s="295"/>
      <c r="E190" s="295"/>
      <c r="F190" s="295"/>
      <c r="G190" s="295"/>
      <c r="H190" s="295"/>
      <c r="I190" s="295"/>
      <c r="J190" s="295"/>
      <c r="K190" s="295"/>
      <c r="L190" s="404"/>
      <c r="M190" s="404"/>
      <c r="N190" s="404"/>
      <c r="O190" s="404"/>
      <c r="P190" s="404"/>
      <c r="Q190" s="404"/>
      <c r="R190" s="404"/>
      <c r="S190" s="404"/>
    </row>
    <row r="191" spans="1:19" ht="18.75">
      <c r="A191" s="293"/>
      <c r="B191" s="294"/>
      <c r="C191" s="293"/>
      <c r="D191" s="295"/>
      <c r="E191" s="295"/>
      <c r="F191" s="295"/>
      <c r="G191" s="295"/>
      <c r="H191" s="295"/>
      <c r="I191" s="295"/>
      <c r="J191" s="295"/>
      <c r="K191" s="295"/>
      <c r="L191" s="404"/>
      <c r="M191" s="404"/>
      <c r="N191" s="404"/>
      <c r="O191" s="404"/>
      <c r="P191" s="404"/>
      <c r="Q191" s="404"/>
      <c r="R191" s="404"/>
      <c r="S191" s="404"/>
    </row>
    <row r="192" spans="1:19" ht="18.75">
      <c r="A192" s="293"/>
      <c r="B192" s="294"/>
      <c r="C192" s="293"/>
      <c r="D192" s="295"/>
      <c r="E192" s="295"/>
      <c r="F192" s="295"/>
      <c r="G192" s="295"/>
      <c r="H192" s="295"/>
      <c r="I192" s="295"/>
      <c r="J192" s="295"/>
      <c r="K192" s="295"/>
      <c r="L192" s="404"/>
      <c r="M192" s="404"/>
      <c r="N192" s="404"/>
      <c r="O192" s="404"/>
      <c r="P192" s="404"/>
      <c r="Q192" s="404"/>
      <c r="R192" s="404"/>
      <c r="S192" s="404"/>
    </row>
    <row r="193" spans="1:19" ht="18.75">
      <c r="A193" s="293"/>
      <c r="B193" s="294"/>
      <c r="C193" s="293"/>
      <c r="D193" s="295"/>
      <c r="E193" s="295"/>
      <c r="F193" s="295"/>
      <c r="G193" s="295"/>
      <c r="H193" s="295"/>
      <c r="I193" s="295"/>
      <c r="J193" s="295"/>
      <c r="K193" s="295"/>
      <c r="L193" s="404"/>
      <c r="M193" s="404"/>
      <c r="N193" s="404"/>
      <c r="O193" s="404"/>
      <c r="P193" s="404"/>
      <c r="Q193" s="404"/>
      <c r="R193" s="404"/>
      <c r="S193" s="404"/>
    </row>
    <row r="194" spans="1:19" ht="18.75">
      <c r="A194" s="293"/>
      <c r="B194" s="294"/>
      <c r="C194" s="293"/>
      <c r="D194" s="295"/>
      <c r="E194" s="295"/>
      <c r="F194" s="295"/>
      <c r="G194" s="295"/>
      <c r="H194" s="295"/>
      <c r="I194" s="295"/>
      <c r="J194" s="295"/>
      <c r="K194" s="295"/>
      <c r="L194" s="404"/>
      <c r="M194" s="404"/>
      <c r="N194" s="404"/>
      <c r="O194" s="404"/>
      <c r="P194" s="404"/>
      <c r="Q194" s="404"/>
      <c r="R194" s="404"/>
      <c r="S194" s="404"/>
    </row>
    <row r="195" spans="1:19" ht="18.75">
      <c r="A195" s="293"/>
      <c r="B195" s="294"/>
      <c r="C195" s="293"/>
      <c r="D195" s="295"/>
      <c r="E195" s="295"/>
      <c r="F195" s="295"/>
      <c r="G195" s="295"/>
      <c r="H195" s="295"/>
      <c r="I195" s="295"/>
      <c r="J195" s="295"/>
      <c r="K195" s="295"/>
      <c r="L195" s="404"/>
      <c r="M195" s="404"/>
      <c r="N195" s="404"/>
      <c r="O195" s="404"/>
      <c r="P195" s="404"/>
      <c r="Q195" s="404"/>
      <c r="R195" s="404"/>
      <c r="S195" s="404"/>
    </row>
    <row r="196" spans="1:19" ht="18.75">
      <c r="A196" s="293"/>
      <c r="B196" s="294"/>
      <c r="C196" s="293"/>
      <c r="D196" s="295"/>
      <c r="E196" s="295"/>
      <c r="F196" s="295"/>
      <c r="G196" s="295"/>
      <c r="H196" s="295"/>
      <c r="I196" s="295"/>
      <c r="J196" s="295"/>
      <c r="K196" s="295"/>
      <c r="L196" s="404"/>
      <c r="M196" s="404"/>
      <c r="N196" s="404"/>
      <c r="O196" s="404"/>
      <c r="P196" s="404"/>
      <c r="Q196" s="404"/>
      <c r="R196" s="404"/>
      <c r="S196" s="404"/>
    </row>
    <row r="197" spans="1:19" ht="18.75">
      <c r="A197" s="293"/>
      <c r="B197" s="294"/>
      <c r="C197" s="293"/>
      <c r="D197" s="295"/>
      <c r="E197" s="295"/>
      <c r="F197" s="295"/>
      <c r="G197" s="295"/>
      <c r="H197" s="295"/>
      <c r="I197" s="295"/>
      <c r="J197" s="295"/>
      <c r="K197" s="295"/>
      <c r="L197" s="404"/>
      <c r="M197" s="404"/>
      <c r="N197" s="404"/>
      <c r="O197" s="404"/>
      <c r="P197" s="404"/>
      <c r="Q197" s="404"/>
      <c r="R197" s="404"/>
      <c r="S197" s="404"/>
    </row>
    <row r="198" spans="1:19" ht="18.75">
      <c r="A198" s="293"/>
      <c r="B198" s="294"/>
      <c r="C198" s="293"/>
      <c r="D198" s="295"/>
      <c r="E198" s="295"/>
      <c r="F198" s="295"/>
      <c r="G198" s="295"/>
      <c r="H198" s="295"/>
      <c r="I198" s="295"/>
      <c r="J198" s="295"/>
      <c r="K198" s="295"/>
      <c r="L198" s="404"/>
      <c r="M198" s="404"/>
      <c r="N198" s="404"/>
      <c r="O198" s="404"/>
      <c r="P198" s="404"/>
      <c r="Q198" s="404"/>
      <c r="R198" s="404"/>
      <c r="S198" s="404"/>
    </row>
    <row r="199" spans="1:19" ht="18.75">
      <c r="A199" s="293"/>
      <c r="B199" s="294"/>
      <c r="C199" s="293"/>
      <c r="D199" s="295"/>
      <c r="E199" s="295"/>
      <c r="F199" s="295"/>
      <c r="G199" s="295"/>
      <c r="H199" s="295"/>
      <c r="I199" s="295"/>
      <c r="J199" s="295"/>
      <c r="K199" s="295"/>
      <c r="L199" s="404"/>
      <c r="M199" s="404"/>
      <c r="N199" s="404"/>
      <c r="O199" s="404"/>
      <c r="P199" s="404"/>
      <c r="Q199" s="404"/>
      <c r="R199" s="404"/>
      <c r="S199" s="404"/>
    </row>
    <row r="200" spans="1:19" ht="18.75">
      <c r="A200" s="293"/>
      <c r="B200" s="294"/>
      <c r="C200" s="293"/>
      <c r="D200" s="295"/>
      <c r="E200" s="295"/>
      <c r="F200" s="295"/>
      <c r="G200" s="295"/>
      <c r="H200" s="295"/>
      <c r="I200" s="295"/>
      <c r="J200" s="295"/>
      <c r="K200" s="295"/>
      <c r="L200" s="404"/>
      <c r="M200" s="404"/>
      <c r="N200" s="404"/>
      <c r="O200" s="404"/>
      <c r="P200" s="404"/>
      <c r="Q200" s="404"/>
      <c r="R200" s="404"/>
      <c r="S200" s="404"/>
    </row>
    <row r="201" spans="1:19" ht="18.75">
      <c r="A201" s="293"/>
      <c r="B201" s="294"/>
      <c r="C201" s="293"/>
      <c r="D201" s="295"/>
      <c r="E201" s="295"/>
      <c r="F201" s="295"/>
      <c r="G201" s="295"/>
      <c r="H201" s="295"/>
      <c r="I201" s="295"/>
      <c r="J201" s="295"/>
      <c r="K201" s="295"/>
      <c r="L201" s="404"/>
      <c r="M201" s="404"/>
      <c r="N201" s="404"/>
      <c r="O201" s="404"/>
      <c r="P201" s="404"/>
      <c r="Q201" s="404"/>
      <c r="R201" s="404"/>
      <c r="S201" s="404"/>
    </row>
    <row r="202" spans="1:19" ht="18.75">
      <c r="A202" s="293"/>
      <c r="B202" s="294"/>
      <c r="C202" s="293"/>
      <c r="D202" s="295"/>
      <c r="E202" s="295"/>
      <c r="F202" s="295"/>
      <c r="G202" s="295"/>
      <c r="H202" s="295"/>
      <c r="I202" s="295"/>
      <c r="J202" s="295"/>
      <c r="K202" s="295"/>
      <c r="L202" s="404"/>
      <c r="M202" s="404"/>
      <c r="N202" s="404"/>
      <c r="O202" s="404"/>
      <c r="P202" s="404"/>
      <c r="Q202" s="404"/>
      <c r="R202" s="404"/>
      <c r="S202" s="404"/>
    </row>
    <row r="203" spans="1:19" ht="18.75">
      <c r="A203" s="293"/>
      <c r="B203" s="294"/>
      <c r="C203" s="293"/>
      <c r="D203" s="295"/>
      <c r="E203" s="295"/>
      <c r="F203" s="295"/>
      <c r="G203" s="295"/>
      <c r="H203" s="295"/>
      <c r="I203" s="295"/>
      <c r="J203" s="295"/>
      <c r="K203" s="295"/>
      <c r="L203" s="404"/>
      <c r="M203" s="404"/>
      <c r="N203" s="404"/>
      <c r="O203" s="404"/>
      <c r="P203" s="404"/>
      <c r="Q203" s="404"/>
      <c r="R203" s="404"/>
      <c r="S203" s="404"/>
    </row>
    <row r="204" spans="1:19" ht="18.75">
      <c r="A204" s="293"/>
      <c r="B204" s="294"/>
      <c r="C204" s="293"/>
      <c r="D204" s="295"/>
      <c r="E204" s="295"/>
      <c r="F204" s="295"/>
      <c r="G204" s="295"/>
      <c r="H204" s="295"/>
      <c r="I204" s="295"/>
      <c r="J204" s="295"/>
      <c r="K204" s="295"/>
      <c r="L204" s="404"/>
      <c r="M204" s="404"/>
      <c r="N204" s="404"/>
      <c r="O204" s="404"/>
      <c r="P204" s="404"/>
      <c r="Q204" s="404"/>
      <c r="R204" s="404"/>
      <c r="S204" s="404"/>
    </row>
    <row r="205" spans="1:19" ht="18.75">
      <c r="A205" s="293"/>
      <c r="B205" s="294"/>
      <c r="C205" s="293"/>
      <c r="D205" s="295"/>
      <c r="E205" s="295"/>
      <c r="F205" s="295"/>
      <c r="G205" s="295"/>
      <c r="H205" s="295"/>
      <c r="I205" s="295"/>
      <c r="J205" s="295"/>
      <c r="K205" s="295"/>
      <c r="L205" s="404"/>
      <c r="M205" s="404"/>
      <c r="N205" s="404"/>
      <c r="O205" s="404"/>
      <c r="P205" s="404"/>
      <c r="Q205" s="404"/>
      <c r="R205" s="404"/>
      <c r="S205" s="404"/>
    </row>
    <row r="206" spans="1:19" ht="18.75">
      <c r="A206" s="293"/>
      <c r="B206" s="294"/>
      <c r="C206" s="293"/>
      <c r="D206" s="295"/>
      <c r="E206" s="295"/>
      <c r="F206" s="295"/>
      <c r="G206" s="295"/>
      <c r="H206" s="295"/>
      <c r="I206" s="295"/>
      <c r="J206" s="295"/>
      <c r="K206" s="295"/>
      <c r="L206" s="404"/>
      <c r="M206" s="404"/>
      <c r="N206" s="404"/>
      <c r="O206" s="404"/>
      <c r="P206" s="404"/>
      <c r="Q206" s="404"/>
      <c r="R206" s="404"/>
      <c r="S206" s="404"/>
    </row>
  </sheetData>
  <sheetProtection/>
  <mergeCells count="41">
    <mergeCell ref="L6:L7"/>
    <mergeCell ref="M6:M7"/>
    <mergeCell ref="N6:N7"/>
    <mergeCell ref="O6:O7"/>
    <mergeCell ref="D1:O2"/>
    <mergeCell ref="T6:T7"/>
    <mergeCell ref="U6:U7"/>
    <mergeCell ref="A4:S4"/>
    <mergeCell ref="A6:A7"/>
    <mergeCell ref="P6:P7"/>
    <mergeCell ref="Q6:Q7"/>
    <mergeCell ref="R6:R7"/>
    <mergeCell ref="S6:S7"/>
    <mergeCell ref="C6:C7"/>
    <mergeCell ref="D6:K6"/>
    <mergeCell ref="H121:K121"/>
    <mergeCell ref="H122:K122"/>
    <mergeCell ref="H123:K123"/>
    <mergeCell ref="H124:K124"/>
    <mergeCell ref="H125:K125"/>
    <mergeCell ref="H126:K126"/>
    <mergeCell ref="H127:K127"/>
    <mergeCell ref="H128:K128"/>
    <mergeCell ref="H129:K129"/>
    <mergeCell ref="H130:K130"/>
    <mergeCell ref="H131:K131"/>
    <mergeCell ref="H132:K132"/>
    <mergeCell ref="H133:K133"/>
    <mergeCell ref="H134:K134"/>
    <mergeCell ref="H135:K135"/>
    <mergeCell ref="H136:K136"/>
    <mergeCell ref="H137:K137"/>
    <mergeCell ref="H138:K138"/>
    <mergeCell ref="H145:K145"/>
    <mergeCell ref="H146:K146"/>
    <mergeCell ref="H139:K139"/>
    <mergeCell ref="H140:K140"/>
    <mergeCell ref="H141:K141"/>
    <mergeCell ref="H142:K142"/>
    <mergeCell ref="H143:K143"/>
    <mergeCell ref="H144:K144"/>
  </mergeCells>
  <printOptions/>
  <pageMargins left="0.75" right="0.17" top="0.17" bottom="0.17" header="0.5" footer="0.17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0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10" width="19.00390625" style="0" customWidth="1"/>
    <col min="11" max="11" width="7.625" style="0" customWidth="1"/>
  </cols>
  <sheetData>
    <row r="1" spans="2:11" ht="27" customHeight="1">
      <c r="B1" s="554" t="s">
        <v>592</v>
      </c>
      <c r="C1" s="555"/>
      <c r="D1" s="555"/>
      <c r="E1" s="555"/>
      <c r="F1" s="555"/>
      <c r="G1" s="555"/>
      <c r="H1" s="555"/>
      <c r="I1" s="555"/>
      <c r="J1" s="555"/>
      <c r="K1" s="555"/>
    </row>
    <row r="2" spans="2:9" ht="12.75">
      <c r="B2" s="439"/>
      <c r="C2" s="439"/>
      <c r="D2" s="439"/>
      <c r="E2" s="439"/>
      <c r="F2" s="415"/>
      <c r="G2" s="415"/>
      <c r="H2" s="415"/>
      <c r="I2" s="415"/>
    </row>
    <row r="3" spans="1:9" ht="27.75" customHeight="1">
      <c r="A3" s="556" t="s">
        <v>184</v>
      </c>
      <c r="B3" s="556"/>
      <c r="C3" s="556"/>
      <c r="D3" s="556"/>
      <c r="E3" s="556"/>
      <c r="F3" s="556"/>
      <c r="G3" s="556"/>
      <c r="H3" s="556"/>
      <c r="I3" s="556"/>
    </row>
    <row r="4" spans="1:9" ht="13.5" thickBot="1">
      <c r="A4" s="1"/>
      <c r="B4" s="1"/>
      <c r="C4" s="2"/>
      <c r="D4" s="2"/>
      <c r="E4" s="4"/>
      <c r="F4" s="4"/>
      <c r="G4" s="4"/>
      <c r="H4" s="4"/>
      <c r="I4" s="3" t="s">
        <v>108</v>
      </c>
    </row>
    <row r="5" spans="1:11" ht="12.75" customHeight="1">
      <c r="A5" s="557" t="s">
        <v>6</v>
      </c>
      <c r="B5" s="559" t="s">
        <v>62</v>
      </c>
      <c r="C5" s="561" t="s">
        <v>7</v>
      </c>
      <c r="D5" s="563" t="s">
        <v>17</v>
      </c>
      <c r="E5" s="540" t="s">
        <v>27</v>
      </c>
      <c r="F5" s="541"/>
      <c r="G5" s="542"/>
      <c r="H5" s="549" t="s">
        <v>28</v>
      </c>
      <c r="I5" s="551" t="s">
        <v>34</v>
      </c>
      <c r="J5" s="551" t="s">
        <v>609</v>
      </c>
      <c r="K5" s="551" t="s">
        <v>518</v>
      </c>
    </row>
    <row r="6" spans="1:11" ht="12.75">
      <c r="A6" s="558"/>
      <c r="B6" s="560"/>
      <c r="C6" s="562"/>
      <c r="D6" s="564"/>
      <c r="E6" s="543"/>
      <c r="F6" s="544"/>
      <c r="G6" s="545"/>
      <c r="H6" s="550"/>
      <c r="I6" s="552"/>
      <c r="J6" s="552"/>
      <c r="K6" s="552"/>
    </row>
    <row r="7" spans="1:11" ht="12.75">
      <c r="A7" s="558"/>
      <c r="B7" s="560"/>
      <c r="C7" s="562"/>
      <c r="D7" s="564"/>
      <c r="E7" s="543"/>
      <c r="F7" s="544"/>
      <c r="G7" s="545"/>
      <c r="H7" s="550"/>
      <c r="I7" s="552"/>
      <c r="J7" s="552"/>
      <c r="K7" s="552"/>
    </row>
    <row r="8" spans="1:11" ht="12.75">
      <c r="A8" s="558"/>
      <c r="B8" s="560"/>
      <c r="C8" s="562"/>
      <c r="D8" s="564"/>
      <c r="E8" s="543"/>
      <c r="F8" s="544"/>
      <c r="G8" s="545"/>
      <c r="H8" s="550"/>
      <c r="I8" s="552"/>
      <c r="J8" s="552"/>
      <c r="K8" s="552"/>
    </row>
    <row r="9" spans="1:11" ht="12.75">
      <c r="A9" s="558"/>
      <c r="B9" s="560"/>
      <c r="C9" s="562"/>
      <c r="D9" s="564"/>
      <c r="E9" s="543"/>
      <c r="F9" s="544"/>
      <c r="G9" s="545"/>
      <c r="H9" s="550"/>
      <c r="I9" s="552"/>
      <c r="J9" s="552"/>
      <c r="K9" s="552"/>
    </row>
    <row r="10" spans="1:11" ht="12.75">
      <c r="A10" s="558"/>
      <c r="B10" s="560"/>
      <c r="C10" s="562"/>
      <c r="D10" s="564"/>
      <c r="E10" s="546"/>
      <c r="F10" s="547"/>
      <c r="G10" s="548"/>
      <c r="H10" s="550"/>
      <c r="I10" s="553"/>
      <c r="J10" s="553"/>
      <c r="K10" s="553"/>
    </row>
    <row r="11" spans="1:11" ht="37.5">
      <c r="A11" s="153" t="s">
        <v>61</v>
      </c>
      <c r="B11" s="154" t="s">
        <v>63</v>
      </c>
      <c r="C11" s="130"/>
      <c r="D11" s="35"/>
      <c r="E11" s="155"/>
      <c r="F11" s="155"/>
      <c r="G11" s="155"/>
      <c r="H11" s="36"/>
      <c r="I11" s="503">
        <f>I350</f>
        <v>521394237.62000006</v>
      </c>
      <c r="J11" s="503">
        <f>J350</f>
        <v>465714796.07000005</v>
      </c>
      <c r="K11" s="437">
        <f>J11/I11*100</f>
        <v>89.321047772956</v>
      </c>
    </row>
    <row r="12" spans="1:11" ht="18.75">
      <c r="A12" s="185" t="s">
        <v>23</v>
      </c>
      <c r="B12" s="182" t="s">
        <v>63</v>
      </c>
      <c r="C12" s="184" t="s">
        <v>8</v>
      </c>
      <c r="D12" s="184"/>
      <c r="E12" s="184"/>
      <c r="F12" s="184"/>
      <c r="G12" s="184"/>
      <c r="H12" s="184"/>
      <c r="I12" s="27">
        <f>I13+I17+I45+I49+I53+I57</f>
        <v>24204507.7</v>
      </c>
      <c r="J12" s="27">
        <f>J13+J17+J45+J49+J53+J57</f>
        <v>21137713.25</v>
      </c>
      <c r="K12" s="437">
        <f aca="true" t="shared" si="0" ref="K12:K87">J12/I12*100</f>
        <v>87.32965574837947</v>
      </c>
    </row>
    <row r="13" spans="1:11" ht="32.25" customHeight="1">
      <c r="A13" s="70" t="s">
        <v>67</v>
      </c>
      <c r="B13" s="181" t="s">
        <v>63</v>
      </c>
      <c r="C13" s="51" t="s">
        <v>8</v>
      </c>
      <c r="D13" s="6" t="s">
        <v>18</v>
      </c>
      <c r="E13" s="6"/>
      <c r="F13" s="6"/>
      <c r="G13" s="6"/>
      <c r="H13" s="131"/>
      <c r="I13" s="26">
        <f>I14</f>
        <v>249000</v>
      </c>
      <c r="J13" s="26">
        <f>J14</f>
        <v>225826.5</v>
      </c>
      <c r="K13" s="437">
        <f t="shared" si="0"/>
        <v>90.6933734939759</v>
      </c>
    </row>
    <row r="14" spans="1:11" ht="35.25" customHeight="1">
      <c r="A14" s="71" t="s">
        <v>77</v>
      </c>
      <c r="B14" s="181" t="s">
        <v>63</v>
      </c>
      <c r="C14" s="50" t="s">
        <v>8</v>
      </c>
      <c r="D14" s="12" t="s">
        <v>18</v>
      </c>
      <c r="E14" s="12" t="s">
        <v>78</v>
      </c>
      <c r="F14" s="12" t="s">
        <v>33</v>
      </c>
      <c r="G14" s="12" t="s">
        <v>33</v>
      </c>
      <c r="H14" s="97"/>
      <c r="I14" s="24">
        <f>I15</f>
        <v>249000</v>
      </c>
      <c r="J14" s="24">
        <f>J15</f>
        <v>225826.5</v>
      </c>
      <c r="K14" s="437">
        <f t="shared" si="0"/>
        <v>90.6933734939759</v>
      </c>
    </row>
    <row r="15" spans="1:11" ht="14.25" customHeight="1">
      <c r="A15" s="46" t="s">
        <v>3</v>
      </c>
      <c r="B15" s="181" t="s">
        <v>63</v>
      </c>
      <c r="C15" s="53" t="s">
        <v>8</v>
      </c>
      <c r="D15" s="41" t="s">
        <v>18</v>
      </c>
      <c r="E15" s="41" t="s">
        <v>78</v>
      </c>
      <c r="F15" s="41" t="s">
        <v>19</v>
      </c>
      <c r="G15" s="41" t="s">
        <v>33</v>
      </c>
      <c r="H15" s="98"/>
      <c r="I15" s="42">
        <f>SUM(I16:I16)</f>
        <v>249000</v>
      </c>
      <c r="J15" s="42">
        <f>SUM(J16:J16)</f>
        <v>225826.5</v>
      </c>
      <c r="K15" s="437">
        <f t="shared" si="0"/>
        <v>90.6933734939759</v>
      </c>
    </row>
    <row r="16" spans="1:11" ht="19.5" customHeight="1">
      <c r="A16" s="72" t="s">
        <v>79</v>
      </c>
      <c r="B16" s="181" t="s">
        <v>63</v>
      </c>
      <c r="C16" s="52" t="s">
        <v>8</v>
      </c>
      <c r="D16" s="7" t="s">
        <v>18</v>
      </c>
      <c r="E16" s="7" t="s">
        <v>78</v>
      </c>
      <c r="F16" s="7" t="s">
        <v>19</v>
      </c>
      <c r="G16" s="7" t="s">
        <v>33</v>
      </c>
      <c r="H16" s="96" t="s">
        <v>87</v>
      </c>
      <c r="I16" s="25">
        <v>249000</v>
      </c>
      <c r="J16" s="25">
        <v>225826.5</v>
      </c>
      <c r="K16" s="437">
        <f t="shared" si="0"/>
        <v>90.6933734939759</v>
      </c>
    </row>
    <row r="17" spans="1:11" ht="30.75" customHeight="1">
      <c r="A17" s="37" t="s">
        <v>53</v>
      </c>
      <c r="B17" s="181" t="s">
        <v>63</v>
      </c>
      <c r="C17" s="51" t="s">
        <v>8</v>
      </c>
      <c r="D17" s="6" t="s">
        <v>19</v>
      </c>
      <c r="E17" s="6"/>
      <c r="F17" s="6"/>
      <c r="G17" s="6"/>
      <c r="H17" s="131"/>
      <c r="I17" s="26">
        <f>I18+I28+I29+I33+I34+I37+I39+I41+I43</f>
        <v>17020991.25</v>
      </c>
      <c r="J17" s="26">
        <f>J18+J28+J29+J33+J34+J37+J39+J41+J43</f>
        <v>15017223.009999998</v>
      </c>
      <c r="K17" s="437">
        <f t="shared" si="0"/>
        <v>88.2276642378275</v>
      </c>
    </row>
    <row r="18" spans="1:11" ht="27" customHeight="1">
      <c r="A18" s="73" t="s">
        <v>77</v>
      </c>
      <c r="B18" s="181" t="s">
        <v>63</v>
      </c>
      <c r="C18" s="50" t="s">
        <v>8</v>
      </c>
      <c r="D18" s="12" t="s">
        <v>19</v>
      </c>
      <c r="E18" s="12" t="s">
        <v>78</v>
      </c>
      <c r="F18" s="12" t="s">
        <v>33</v>
      </c>
      <c r="G18" s="12" t="s">
        <v>33</v>
      </c>
      <c r="H18" s="97"/>
      <c r="I18" s="24">
        <f>I19+I25</f>
        <v>15728991.25</v>
      </c>
      <c r="J18" s="24">
        <f>J19+J25</f>
        <v>13863043.219999999</v>
      </c>
      <c r="K18" s="437">
        <f t="shared" si="0"/>
        <v>88.13688684581092</v>
      </c>
    </row>
    <row r="19" spans="1:11" ht="16.5" customHeight="1">
      <c r="A19" s="46" t="s">
        <v>3</v>
      </c>
      <c r="B19" s="181" t="s">
        <v>63</v>
      </c>
      <c r="C19" s="53" t="s">
        <v>8</v>
      </c>
      <c r="D19" s="41" t="s">
        <v>19</v>
      </c>
      <c r="E19" s="41" t="s">
        <v>78</v>
      </c>
      <c r="F19" s="41" t="s">
        <v>19</v>
      </c>
      <c r="G19" s="41" t="s">
        <v>33</v>
      </c>
      <c r="H19" s="98"/>
      <c r="I19" s="42">
        <f>SUM(I20:I24)</f>
        <v>15548991.25</v>
      </c>
      <c r="J19" s="42">
        <f>SUM(J20:J24)</f>
        <v>13763480.44</v>
      </c>
      <c r="K19" s="437">
        <f t="shared" si="0"/>
        <v>88.51687044328358</v>
      </c>
    </row>
    <row r="20" spans="1:13" ht="17.25" customHeight="1">
      <c r="A20" s="112" t="s">
        <v>79</v>
      </c>
      <c r="B20" s="181" t="s">
        <v>63</v>
      </c>
      <c r="C20" s="52" t="s">
        <v>8</v>
      </c>
      <c r="D20" s="7" t="s">
        <v>19</v>
      </c>
      <c r="E20" s="7" t="s">
        <v>78</v>
      </c>
      <c r="F20" s="7" t="s">
        <v>19</v>
      </c>
      <c r="G20" s="7" t="s">
        <v>33</v>
      </c>
      <c r="H20" s="96" t="s">
        <v>87</v>
      </c>
      <c r="I20" s="25">
        <v>15303491.25</v>
      </c>
      <c r="J20" s="25">
        <v>13683480.44</v>
      </c>
      <c r="K20" s="437">
        <f t="shared" si="0"/>
        <v>89.41410960717869</v>
      </c>
      <c r="M20">
        <v>3086</v>
      </c>
    </row>
    <row r="21" spans="1:11" ht="112.5" customHeight="1">
      <c r="A21" s="187" t="s">
        <v>178</v>
      </c>
      <c r="B21" s="181" t="s">
        <v>63</v>
      </c>
      <c r="C21" s="52" t="s">
        <v>8</v>
      </c>
      <c r="D21" s="7" t="s">
        <v>19</v>
      </c>
      <c r="E21" s="7" t="s">
        <v>78</v>
      </c>
      <c r="F21" s="7" t="s">
        <v>19</v>
      </c>
      <c r="G21" s="7" t="s">
        <v>8</v>
      </c>
      <c r="H21" s="96" t="s">
        <v>87</v>
      </c>
      <c r="I21" s="25">
        <f>54000-9500</f>
        <v>44500</v>
      </c>
      <c r="J21" s="25"/>
      <c r="K21" s="437">
        <f t="shared" si="0"/>
        <v>0</v>
      </c>
    </row>
    <row r="22" spans="1:11" ht="34.5" customHeight="1">
      <c r="A22" s="72" t="s">
        <v>114</v>
      </c>
      <c r="B22" s="186" t="s">
        <v>63</v>
      </c>
      <c r="C22" s="52" t="s">
        <v>8</v>
      </c>
      <c r="D22" s="7" t="s">
        <v>19</v>
      </c>
      <c r="E22" s="7" t="s">
        <v>78</v>
      </c>
      <c r="F22" s="7" t="s">
        <v>19</v>
      </c>
      <c r="G22" s="7" t="s">
        <v>16</v>
      </c>
      <c r="H22" s="96" t="s">
        <v>87</v>
      </c>
      <c r="I22" s="25">
        <f>220000-9500-30000</f>
        <v>180500</v>
      </c>
      <c r="J22" s="25">
        <v>80000</v>
      </c>
      <c r="K22" s="437">
        <f t="shared" si="0"/>
        <v>44.32132963988919</v>
      </c>
    </row>
    <row r="23" spans="1:11" ht="40.5" customHeight="1">
      <c r="A23" s="112" t="s">
        <v>179</v>
      </c>
      <c r="B23" s="186" t="s">
        <v>63</v>
      </c>
      <c r="C23" s="52" t="s">
        <v>8</v>
      </c>
      <c r="D23" s="7" t="s">
        <v>19</v>
      </c>
      <c r="E23" s="7" t="s">
        <v>78</v>
      </c>
      <c r="F23" s="7" t="s">
        <v>19</v>
      </c>
      <c r="G23" s="7" t="s">
        <v>18</v>
      </c>
      <c r="H23" s="96" t="s">
        <v>87</v>
      </c>
      <c r="I23" s="25">
        <v>500</v>
      </c>
      <c r="J23" s="25"/>
      <c r="K23" s="437">
        <f t="shared" si="0"/>
        <v>0</v>
      </c>
    </row>
    <row r="24" spans="1:11" ht="144" customHeight="1">
      <c r="A24" s="220" t="s">
        <v>593</v>
      </c>
      <c r="B24" s="181" t="s">
        <v>63</v>
      </c>
      <c r="C24" s="91" t="s">
        <v>8</v>
      </c>
      <c r="D24" s="7" t="s">
        <v>19</v>
      </c>
      <c r="E24" s="7" t="s">
        <v>78</v>
      </c>
      <c r="F24" s="7" t="s">
        <v>19</v>
      </c>
      <c r="G24" s="7" t="s">
        <v>9</v>
      </c>
      <c r="H24" s="96" t="s">
        <v>87</v>
      </c>
      <c r="I24" s="25">
        <v>20000</v>
      </c>
      <c r="J24" s="25"/>
      <c r="K24" s="437">
        <f t="shared" si="0"/>
        <v>0</v>
      </c>
    </row>
    <row r="25" spans="1:11" ht="31.5" customHeight="1">
      <c r="A25" s="46" t="s">
        <v>64</v>
      </c>
      <c r="B25" s="181" t="s">
        <v>63</v>
      </c>
      <c r="C25" s="53" t="s">
        <v>8</v>
      </c>
      <c r="D25" s="41" t="s">
        <v>19</v>
      </c>
      <c r="E25" s="41" t="s">
        <v>78</v>
      </c>
      <c r="F25" s="41" t="s">
        <v>11</v>
      </c>
      <c r="G25" s="41" t="s">
        <v>33</v>
      </c>
      <c r="H25" s="98"/>
      <c r="I25" s="42">
        <f>I26</f>
        <v>180000</v>
      </c>
      <c r="J25" s="42">
        <f>J26</f>
        <v>99562.78</v>
      </c>
      <c r="K25" s="437">
        <f t="shared" si="0"/>
        <v>55.31265555555556</v>
      </c>
    </row>
    <row r="26" spans="1:11" ht="28.5" customHeight="1">
      <c r="A26" s="112" t="s">
        <v>79</v>
      </c>
      <c r="B26" s="181" t="s">
        <v>63</v>
      </c>
      <c r="C26" s="91" t="s">
        <v>8</v>
      </c>
      <c r="D26" s="7" t="s">
        <v>19</v>
      </c>
      <c r="E26" s="7" t="s">
        <v>78</v>
      </c>
      <c r="F26" s="7" t="s">
        <v>11</v>
      </c>
      <c r="G26" s="7" t="s">
        <v>33</v>
      </c>
      <c r="H26" s="96" t="s">
        <v>87</v>
      </c>
      <c r="I26" s="25">
        <v>180000</v>
      </c>
      <c r="J26" s="25">
        <v>99562.78</v>
      </c>
      <c r="K26" s="437">
        <f t="shared" si="0"/>
        <v>55.31265555555556</v>
      </c>
    </row>
    <row r="27" spans="1:11" ht="21.75" customHeight="1">
      <c r="A27" s="111" t="s">
        <v>112</v>
      </c>
      <c r="B27" s="181" t="s">
        <v>63</v>
      </c>
      <c r="C27" s="53" t="s">
        <v>8</v>
      </c>
      <c r="D27" s="41" t="s">
        <v>19</v>
      </c>
      <c r="E27" s="41" t="s">
        <v>152</v>
      </c>
      <c r="F27" s="41" t="s">
        <v>19</v>
      </c>
      <c r="G27" s="41" t="s">
        <v>33</v>
      </c>
      <c r="H27" s="98"/>
      <c r="I27" s="42">
        <f>I28</f>
        <v>364000</v>
      </c>
      <c r="J27" s="42">
        <f>J28</f>
        <v>310677.79</v>
      </c>
      <c r="K27" s="437">
        <f t="shared" si="0"/>
        <v>85.3510412087912</v>
      </c>
    </row>
    <row r="28" spans="1:11" ht="30" customHeight="1">
      <c r="A28" s="75" t="s">
        <v>79</v>
      </c>
      <c r="B28" s="181" t="s">
        <v>63</v>
      </c>
      <c r="C28" s="52" t="s">
        <v>8</v>
      </c>
      <c r="D28" s="7" t="s">
        <v>19</v>
      </c>
      <c r="E28" s="7" t="s">
        <v>152</v>
      </c>
      <c r="F28" s="7" t="s">
        <v>19</v>
      </c>
      <c r="G28" s="7" t="s">
        <v>33</v>
      </c>
      <c r="H28" s="96" t="s">
        <v>87</v>
      </c>
      <c r="I28" s="25">
        <v>364000</v>
      </c>
      <c r="J28" s="25">
        <v>310677.79</v>
      </c>
      <c r="K28" s="437">
        <f t="shared" si="0"/>
        <v>85.3510412087912</v>
      </c>
    </row>
    <row r="29" spans="1:11" ht="17.25" customHeight="1">
      <c r="A29" s="76" t="s">
        <v>85</v>
      </c>
      <c r="B29" s="181" t="s">
        <v>63</v>
      </c>
      <c r="C29" s="53" t="s">
        <v>8</v>
      </c>
      <c r="D29" s="41" t="s">
        <v>19</v>
      </c>
      <c r="E29" s="41" t="s">
        <v>152</v>
      </c>
      <c r="F29" s="41" t="s">
        <v>15</v>
      </c>
      <c r="G29" s="41" t="s">
        <v>33</v>
      </c>
      <c r="H29" s="98"/>
      <c r="I29" s="42">
        <f>I30+I31</f>
        <v>71000</v>
      </c>
      <c r="J29" s="42">
        <f>J30+J31</f>
        <v>71000</v>
      </c>
      <c r="K29" s="437">
        <f t="shared" si="0"/>
        <v>100</v>
      </c>
    </row>
    <row r="30" spans="1:11" ht="17.25" customHeight="1">
      <c r="A30" s="75" t="s">
        <v>79</v>
      </c>
      <c r="B30" s="181" t="s">
        <v>63</v>
      </c>
      <c r="C30" s="52" t="s">
        <v>8</v>
      </c>
      <c r="D30" s="7" t="s">
        <v>19</v>
      </c>
      <c r="E30" s="7" t="s">
        <v>152</v>
      </c>
      <c r="F30" s="7" t="s">
        <v>15</v>
      </c>
      <c r="G30" s="7" t="s">
        <v>33</v>
      </c>
      <c r="H30" s="96" t="s">
        <v>87</v>
      </c>
      <c r="I30" s="25">
        <v>67000</v>
      </c>
      <c r="J30" s="25">
        <v>67000</v>
      </c>
      <c r="K30" s="437">
        <f t="shared" si="0"/>
        <v>100</v>
      </c>
    </row>
    <row r="31" spans="1:11" ht="19.5" customHeight="1">
      <c r="A31" s="75" t="s">
        <v>201</v>
      </c>
      <c r="B31" s="181" t="s">
        <v>63</v>
      </c>
      <c r="C31" s="52" t="s">
        <v>8</v>
      </c>
      <c r="D31" s="7" t="s">
        <v>19</v>
      </c>
      <c r="E31" s="7" t="s">
        <v>152</v>
      </c>
      <c r="F31" s="7" t="s">
        <v>15</v>
      </c>
      <c r="G31" s="7" t="s">
        <v>33</v>
      </c>
      <c r="H31" s="96" t="s">
        <v>87</v>
      </c>
      <c r="I31" s="25">
        <v>4000</v>
      </c>
      <c r="J31" s="25">
        <v>4000</v>
      </c>
      <c r="K31" s="437">
        <f t="shared" si="0"/>
        <v>100</v>
      </c>
    </row>
    <row r="32" spans="1:11" ht="18.75" customHeight="1">
      <c r="A32" s="74" t="s">
        <v>113</v>
      </c>
      <c r="B32" s="181" t="s">
        <v>63</v>
      </c>
      <c r="C32" s="53" t="s">
        <v>8</v>
      </c>
      <c r="D32" s="41" t="s">
        <v>19</v>
      </c>
      <c r="E32" s="41" t="s">
        <v>152</v>
      </c>
      <c r="F32" s="41" t="s">
        <v>12</v>
      </c>
      <c r="G32" s="41" t="s">
        <v>33</v>
      </c>
      <c r="H32" s="98"/>
      <c r="I32" s="42">
        <f>I33</f>
        <v>96000</v>
      </c>
      <c r="J32" s="42">
        <f>J33</f>
        <v>94000</v>
      </c>
      <c r="K32" s="437">
        <f t="shared" si="0"/>
        <v>97.91666666666666</v>
      </c>
    </row>
    <row r="33" spans="1:11" ht="19.5" customHeight="1">
      <c r="A33" s="75" t="s">
        <v>79</v>
      </c>
      <c r="B33" s="181" t="s">
        <v>63</v>
      </c>
      <c r="C33" s="52" t="s">
        <v>8</v>
      </c>
      <c r="D33" s="7" t="s">
        <v>19</v>
      </c>
      <c r="E33" s="7" t="s">
        <v>152</v>
      </c>
      <c r="F33" s="7" t="s">
        <v>12</v>
      </c>
      <c r="G33" s="7" t="s">
        <v>33</v>
      </c>
      <c r="H33" s="96" t="s">
        <v>87</v>
      </c>
      <c r="I33" s="25">
        <v>96000</v>
      </c>
      <c r="J33" s="25">
        <v>94000</v>
      </c>
      <c r="K33" s="437">
        <f t="shared" si="0"/>
        <v>97.91666666666666</v>
      </c>
    </row>
    <row r="34" spans="1:11" ht="23.25" customHeight="1">
      <c r="A34" s="213" t="s">
        <v>177</v>
      </c>
      <c r="B34" s="181" t="s">
        <v>63</v>
      </c>
      <c r="C34" s="214" t="s">
        <v>8</v>
      </c>
      <c r="D34" s="207" t="s">
        <v>19</v>
      </c>
      <c r="E34" s="207" t="s">
        <v>152</v>
      </c>
      <c r="F34" s="207" t="s">
        <v>14</v>
      </c>
      <c r="G34" s="207" t="s">
        <v>33</v>
      </c>
      <c r="H34" s="207"/>
      <c r="I34" s="208">
        <f>I36+I35</f>
        <v>392000</v>
      </c>
      <c r="J34" s="208">
        <f>J36+J35</f>
        <v>392000</v>
      </c>
      <c r="K34" s="437">
        <f t="shared" si="0"/>
        <v>100</v>
      </c>
    </row>
    <row r="35" spans="1:11" ht="40.5" customHeight="1">
      <c r="A35" s="179" t="s">
        <v>105</v>
      </c>
      <c r="B35" s="181" t="s">
        <v>63</v>
      </c>
      <c r="C35" s="52" t="s">
        <v>8</v>
      </c>
      <c r="D35" s="7" t="s">
        <v>19</v>
      </c>
      <c r="E35" s="7" t="s">
        <v>152</v>
      </c>
      <c r="F35" s="7" t="s">
        <v>14</v>
      </c>
      <c r="G35" s="7" t="s">
        <v>33</v>
      </c>
      <c r="H35" s="96" t="s">
        <v>107</v>
      </c>
      <c r="I35" s="25">
        <v>25000</v>
      </c>
      <c r="J35" s="25">
        <v>25000</v>
      </c>
      <c r="K35" s="437">
        <f t="shared" si="0"/>
        <v>100</v>
      </c>
    </row>
    <row r="36" spans="1:11" ht="17.25" customHeight="1">
      <c r="A36" s="75" t="s">
        <v>79</v>
      </c>
      <c r="B36" s="181" t="s">
        <v>63</v>
      </c>
      <c r="C36" s="52" t="s">
        <v>8</v>
      </c>
      <c r="D36" s="7" t="s">
        <v>19</v>
      </c>
      <c r="E36" s="7" t="s">
        <v>152</v>
      </c>
      <c r="F36" s="7" t="s">
        <v>14</v>
      </c>
      <c r="G36" s="7" t="s">
        <v>33</v>
      </c>
      <c r="H36" s="96" t="s">
        <v>87</v>
      </c>
      <c r="I36" s="25">
        <v>367000</v>
      </c>
      <c r="J36" s="25">
        <v>367000</v>
      </c>
      <c r="K36" s="437">
        <f t="shared" si="0"/>
        <v>100</v>
      </c>
    </row>
    <row r="37" spans="1:11" ht="16.5" customHeight="1">
      <c r="A37" s="222" t="s">
        <v>187</v>
      </c>
      <c r="B37" s="181" t="s">
        <v>63</v>
      </c>
      <c r="C37" s="195" t="s">
        <v>8</v>
      </c>
      <c r="D37" s="196" t="s">
        <v>19</v>
      </c>
      <c r="E37" s="196" t="s">
        <v>32</v>
      </c>
      <c r="F37" s="196" t="s">
        <v>8</v>
      </c>
      <c r="G37" s="196" t="s">
        <v>33</v>
      </c>
      <c r="H37" s="197"/>
      <c r="I37" s="198">
        <f>I38</f>
        <v>281000</v>
      </c>
      <c r="J37" s="198">
        <f>J38</f>
        <v>281000</v>
      </c>
      <c r="K37" s="437">
        <f t="shared" si="0"/>
        <v>100</v>
      </c>
    </row>
    <row r="38" spans="1:11" ht="18.75">
      <c r="A38" s="75" t="s">
        <v>79</v>
      </c>
      <c r="B38" s="181" t="s">
        <v>63</v>
      </c>
      <c r="C38" s="199" t="s">
        <v>8</v>
      </c>
      <c r="D38" s="200" t="s">
        <v>19</v>
      </c>
      <c r="E38" s="200" t="s">
        <v>32</v>
      </c>
      <c r="F38" s="200" t="s">
        <v>8</v>
      </c>
      <c r="G38" s="200" t="s">
        <v>33</v>
      </c>
      <c r="H38" s="201" t="s">
        <v>87</v>
      </c>
      <c r="I38" s="221">
        <v>281000</v>
      </c>
      <c r="J38" s="221">
        <v>281000</v>
      </c>
      <c r="K38" s="437">
        <f t="shared" si="0"/>
        <v>100</v>
      </c>
    </row>
    <row r="39" spans="1:11" ht="22.5" customHeight="1">
      <c r="A39" s="188" t="s">
        <v>138</v>
      </c>
      <c r="B39" s="181" t="s">
        <v>63</v>
      </c>
      <c r="C39" s="209" t="s">
        <v>8</v>
      </c>
      <c r="D39" s="210" t="s">
        <v>19</v>
      </c>
      <c r="E39" s="210" t="s">
        <v>139</v>
      </c>
      <c r="F39" s="210" t="s">
        <v>33</v>
      </c>
      <c r="G39" s="210" t="s">
        <v>33</v>
      </c>
      <c r="H39" s="211"/>
      <c r="I39" s="212">
        <f>I40</f>
        <v>11000</v>
      </c>
      <c r="J39" s="212">
        <f>J40</f>
        <v>0</v>
      </c>
      <c r="K39" s="437">
        <f t="shared" si="0"/>
        <v>0</v>
      </c>
    </row>
    <row r="40" spans="1:11" ht="29.25" customHeight="1">
      <c r="A40" s="112" t="s">
        <v>109</v>
      </c>
      <c r="B40" s="181" t="s">
        <v>63</v>
      </c>
      <c r="C40" s="91" t="s">
        <v>8</v>
      </c>
      <c r="D40" s="7" t="s">
        <v>19</v>
      </c>
      <c r="E40" s="7" t="s">
        <v>139</v>
      </c>
      <c r="F40" s="7" t="s">
        <v>9</v>
      </c>
      <c r="G40" s="7" t="s">
        <v>16</v>
      </c>
      <c r="H40" s="96" t="s">
        <v>87</v>
      </c>
      <c r="I40" s="25">
        <v>11000</v>
      </c>
      <c r="J40" s="25"/>
      <c r="K40" s="437">
        <f t="shared" si="0"/>
        <v>0</v>
      </c>
    </row>
    <row r="41" spans="1:11" ht="30" customHeight="1">
      <c r="A41" s="189" t="s">
        <v>140</v>
      </c>
      <c r="B41" s="181" t="s">
        <v>63</v>
      </c>
      <c r="C41" s="90" t="s">
        <v>8</v>
      </c>
      <c r="D41" s="41" t="s">
        <v>19</v>
      </c>
      <c r="E41" s="41" t="s">
        <v>141</v>
      </c>
      <c r="F41" s="41" t="s">
        <v>33</v>
      </c>
      <c r="G41" s="41" t="s">
        <v>33</v>
      </c>
      <c r="H41" s="98"/>
      <c r="I41" s="42">
        <f>I42</f>
        <v>66000</v>
      </c>
      <c r="J41" s="42">
        <f>J42</f>
        <v>5502</v>
      </c>
      <c r="K41" s="437">
        <f t="shared" si="0"/>
        <v>8.336363636363636</v>
      </c>
    </row>
    <row r="42" spans="1:11" ht="16.5" customHeight="1">
      <c r="A42" s="112" t="s">
        <v>142</v>
      </c>
      <c r="B42" s="181" t="s">
        <v>63</v>
      </c>
      <c r="C42" s="91" t="s">
        <v>8</v>
      </c>
      <c r="D42" s="7" t="s">
        <v>19</v>
      </c>
      <c r="E42" s="7" t="s">
        <v>141</v>
      </c>
      <c r="F42" s="7" t="s">
        <v>9</v>
      </c>
      <c r="G42" s="7" t="s">
        <v>8</v>
      </c>
      <c r="H42" s="96" t="s">
        <v>87</v>
      </c>
      <c r="I42" s="25">
        <v>66000</v>
      </c>
      <c r="J42" s="25">
        <v>5502</v>
      </c>
      <c r="K42" s="437">
        <f t="shared" si="0"/>
        <v>8.336363636363636</v>
      </c>
    </row>
    <row r="43" spans="1:11" ht="33.75" customHeight="1">
      <c r="A43" s="189" t="s">
        <v>143</v>
      </c>
      <c r="B43" s="181" t="s">
        <v>63</v>
      </c>
      <c r="C43" s="90" t="s">
        <v>8</v>
      </c>
      <c r="D43" s="41" t="s">
        <v>19</v>
      </c>
      <c r="E43" s="41" t="s">
        <v>144</v>
      </c>
      <c r="F43" s="41" t="s">
        <v>33</v>
      </c>
      <c r="G43" s="41" t="s">
        <v>33</v>
      </c>
      <c r="H43" s="98"/>
      <c r="I43" s="42">
        <f>I44</f>
        <v>11000</v>
      </c>
      <c r="J43" s="42">
        <f>J44</f>
        <v>0</v>
      </c>
      <c r="K43" s="437">
        <f t="shared" si="0"/>
        <v>0</v>
      </c>
    </row>
    <row r="44" spans="1:11" ht="17.25" customHeight="1">
      <c r="A44" s="112" t="s">
        <v>110</v>
      </c>
      <c r="B44" s="181" t="s">
        <v>63</v>
      </c>
      <c r="C44" s="91" t="s">
        <v>8</v>
      </c>
      <c r="D44" s="7" t="s">
        <v>19</v>
      </c>
      <c r="E44" s="7" t="s">
        <v>144</v>
      </c>
      <c r="F44" s="7" t="s">
        <v>9</v>
      </c>
      <c r="G44" s="7" t="s">
        <v>18</v>
      </c>
      <c r="H44" s="96" t="s">
        <v>87</v>
      </c>
      <c r="I44" s="25">
        <v>11000</v>
      </c>
      <c r="J44" s="25"/>
      <c r="K44" s="437">
        <f t="shared" si="0"/>
        <v>0</v>
      </c>
    </row>
    <row r="45" spans="1:11" ht="30" customHeight="1">
      <c r="A45" s="468" t="s">
        <v>547</v>
      </c>
      <c r="B45" s="181" t="s">
        <v>63</v>
      </c>
      <c r="C45" s="270" t="s">
        <v>8</v>
      </c>
      <c r="D45" s="217" t="s">
        <v>15</v>
      </c>
      <c r="E45" s="217"/>
      <c r="F45" s="217"/>
      <c r="G45" s="217"/>
      <c r="H45" s="469"/>
      <c r="I45" s="218">
        <f>I48</f>
        <v>4000</v>
      </c>
      <c r="J45" s="218">
        <f>J48</f>
        <v>800</v>
      </c>
      <c r="K45" s="437">
        <f t="shared" si="0"/>
        <v>20</v>
      </c>
    </row>
    <row r="46" spans="1:11" ht="16.5" customHeight="1">
      <c r="A46" s="247" t="s">
        <v>115</v>
      </c>
      <c r="B46" s="181" t="s">
        <v>63</v>
      </c>
      <c r="C46" s="230" t="s">
        <v>8</v>
      </c>
      <c r="D46" s="231" t="s">
        <v>15</v>
      </c>
      <c r="E46" s="231" t="s">
        <v>31</v>
      </c>
      <c r="F46" s="231" t="s">
        <v>33</v>
      </c>
      <c r="G46" s="231" t="s">
        <v>33</v>
      </c>
      <c r="H46" s="232"/>
      <c r="I46" s="233">
        <f>I47</f>
        <v>4000</v>
      </c>
      <c r="J46" s="233">
        <f>J47</f>
        <v>800</v>
      </c>
      <c r="K46" s="470">
        <f t="shared" si="0"/>
        <v>20</v>
      </c>
    </row>
    <row r="47" spans="1:11" ht="18" customHeight="1">
      <c r="A47" s="203" t="s">
        <v>548</v>
      </c>
      <c r="B47" s="181" t="s">
        <v>63</v>
      </c>
      <c r="C47" s="195" t="s">
        <v>8</v>
      </c>
      <c r="D47" s="196" t="s">
        <v>15</v>
      </c>
      <c r="E47" s="196" t="s">
        <v>31</v>
      </c>
      <c r="F47" s="196" t="s">
        <v>192</v>
      </c>
      <c r="G47" s="196" t="s">
        <v>33</v>
      </c>
      <c r="H47" s="197"/>
      <c r="I47" s="198">
        <f>I48</f>
        <v>4000</v>
      </c>
      <c r="J47" s="198">
        <f>J48</f>
        <v>800</v>
      </c>
      <c r="K47" s="470">
        <f t="shared" si="0"/>
        <v>20</v>
      </c>
    </row>
    <row r="48" spans="1:11" ht="30" customHeight="1">
      <c r="A48" s="72" t="s">
        <v>79</v>
      </c>
      <c r="B48" s="181" t="s">
        <v>63</v>
      </c>
      <c r="C48" s="199" t="s">
        <v>8</v>
      </c>
      <c r="D48" s="200" t="s">
        <v>15</v>
      </c>
      <c r="E48" s="200" t="s">
        <v>31</v>
      </c>
      <c r="F48" s="200" t="s">
        <v>192</v>
      </c>
      <c r="G48" s="200" t="s">
        <v>33</v>
      </c>
      <c r="H48" s="201" t="s">
        <v>87</v>
      </c>
      <c r="I48" s="202">
        <v>4000</v>
      </c>
      <c r="J48" s="202">
        <v>800</v>
      </c>
      <c r="K48" s="470">
        <f t="shared" si="0"/>
        <v>20</v>
      </c>
    </row>
    <row r="49" spans="1:11" ht="18" customHeight="1">
      <c r="A49" s="471" t="s">
        <v>549</v>
      </c>
      <c r="B49" s="181" t="s">
        <v>63</v>
      </c>
      <c r="C49" s="472" t="s">
        <v>8</v>
      </c>
      <c r="D49" s="6" t="s">
        <v>10</v>
      </c>
      <c r="E49" s="6"/>
      <c r="F49" s="6"/>
      <c r="G49" s="6"/>
      <c r="H49" s="6"/>
      <c r="I49" s="26">
        <f>I51</f>
        <v>95000</v>
      </c>
      <c r="J49" s="26">
        <f>J51</f>
        <v>95000</v>
      </c>
      <c r="K49" s="470">
        <f t="shared" si="0"/>
        <v>100</v>
      </c>
    </row>
    <row r="50" spans="1:11" ht="18" customHeight="1">
      <c r="A50" s="219" t="s">
        <v>550</v>
      </c>
      <c r="B50" s="181" t="s">
        <v>63</v>
      </c>
      <c r="C50" s="89" t="s">
        <v>8</v>
      </c>
      <c r="D50" s="12" t="s">
        <v>10</v>
      </c>
      <c r="E50" s="12" t="s">
        <v>269</v>
      </c>
      <c r="F50" s="12" t="s">
        <v>33</v>
      </c>
      <c r="G50" s="12" t="s">
        <v>33</v>
      </c>
      <c r="H50" s="12"/>
      <c r="I50" s="24">
        <f>I51</f>
        <v>95000</v>
      </c>
      <c r="J50" s="24">
        <f>J51</f>
        <v>95000</v>
      </c>
      <c r="K50" s="473">
        <f t="shared" si="0"/>
        <v>100</v>
      </c>
    </row>
    <row r="51" spans="1:11" ht="18" customHeight="1">
      <c r="A51" s="111" t="s">
        <v>551</v>
      </c>
      <c r="B51" s="181" t="s">
        <v>63</v>
      </c>
      <c r="C51" s="90" t="s">
        <v>8</v>
      </c>
      <c r="D51" s="41" t="s">
        <v>10</v>
      </c>
      <c r="E51" s="41" t="s">
        <v>269</v>
      </c>
      <c r="F51" s="41" t="s">
        <v>33</v>
      </c>
      <c r="G51" s="41" t="s">
        <v>16</v>
      </c>
      <c r="H51" s="41"/>
      <c r="I51" s="42">
        <f>I52</f>
        <v>95000</v>
      </c>
      <c r="J51" s="42">
        <f>J52</f>
        <v>95000</v>
      </c>
      <c r="K51" s="473">
        <f t="shared" si="0"/>
        <v>100</v>
      </c>
    </row>
    <row r="52" spans="1:11" ht="18" customHeight="1">
      <c r="A52" s="179" t="s">
        <v>79</v>
      </c>
      <c r="B52" s="181" t="s">
        <v>63</v>
      </c>
      <c r="C52" s="91" t="s">
        <v>8</v>
      </c>
      <c r="D52" s="7" t="s">
        <v>10</v>
      </c>
      <c r="E52" s="7" t="s">
        <v>269</v>
      </c>
      <c r="F52" s="7" t="s">
        <v>33</v>
      </c>
      <c r="G52" s="7" t="s">
        <v>16</v>
      </c>
      <c r="H52" s="7" t="s">
        <v>87</v>
      </c>
      <c r="I52" s="25">
        <v>95000</v>
      </c>
      <c r="J52" s="25">
        <v>95000</v>
      </c>
      <c r="K52" s="473">
        <f t="shared" si="0"/>
        <v>100</v>
      </c>
    </row>
    <row r="53" spans="1:11" ht="18" customHeight="1">
      <c r="A53" s="133" t="s">
        <v>95</v>
      </c>
      <c r="B53" s="181" t="s">
        <v>63</v>
      </c>
      <c r="C53" s="51" t="s">
        <v>8</v>
      </c>
      <c r="D53" s="6" t="s">
        <v>60</v>
      </c>
      <c r="E53" s="6"/>
      <c r="F53" s="6"/>
      <c r="G53" s="6"/>
      <c r="H53" s="131"/>
      <c r="I53" s="26">
        <f aca="true" t="shared" si="1" ref="I53:J55">I54</f>
        <v>700000</v>
      </c>
      <c r="J53" s="26">
        <f t="shared" si="1"/>
        <v>0</v>
      </c>
      <c r="K53" s="473">
        <f t="shared" si="0"/>
        <v>0</v>
      </c>
    </row>
    <row r="54" spans="1:11" ht="19.5" customHeight="1">
      <c r="A54" s="134" t="s">
        <v>95</v>
      </c>
      <c r="B54" s="181" t="s">
        <v>63</v>
      </c>
      <c r="C54" s="114" t="s">
        <v>8</v>
      </c>
      <c r="D54" s="115" t="s">
        <v>60</v>
      </c>
      <c r="E54" s="115" t="s">
        <v>96</v>
      </c>
      <c r="F54" s="115" t="s">
        <v>33</v>
      </c>
      <c r="G54" s="115" t="s">
        <v>33</v>
      </c>
      <c r="H54" s="135"/>
      <c r="I54" s="24">
        <f t="shared" si="1"/>
        <v>700000</v>
      </c>
      <c r="J54" s="24">
        <f t="shared" si="1"/>
        <v>0</v>
      </c>
      <c r="K54" s="437">
        <f t="shared" si="0"/>
        <v>0</v>
      </c>
    </row>
    <row r="55" spans="1:11" ht="15" customHeight="1">
      <c r="A55" s="132" t="s">
        <v>97</v>
      </c>
      <c r="B55" s="181" t="s">
        <v>63</v>
      </c>
      <c r="C55" s="53" t="s">
        <v>8</v>
      </c>
      <c r="D55" s="41" t="s">
        <v>60</v>
      </c>
      <c r="E55" s="41" t="s">
        <v>96</v>
      </c>
      <c r="F55" s="41" t="s">
        <v>15</v>
      </c>
      <c r="G55" s="41" t="s">
        <v>33</v>
      </c>
      <c r="H55" s="98"/>
      <c r="I55" s="42">
        <f t="shared" si="1"/>
        <v>700000</v>
      </c>
      <c r="J55" s="42">
        <f t="shared" si="1"/>
        <v>0</v>
      </c>
      <c r="K55" s="437">
        <f t="shared" si="0"/>
        <v>0</v>
      </c>
    </row>
    <row r="56" spans="1:11" ht="20.25" customHeight="1">
      <c r="A56" s="136" t="s">
        <v>89</v>
      </c>
      <c r="B56" s="181" t="s">
        <v>63</v>
      </c>
      <c r="C56" s="116" t="s">
        <v>8</v>
      </c>
      <c r="D56" s="117" t="s">
        <v>60</v>
      </c>
      <c r="E56" s="117" t="s">
        <v>96</v>
      </c>
      <c r="F56" s="117" t="s">
        <v>15</v>
      </c>
      <c r="G56" s="117" t="s">
        <v>33</v>
      </c>
      <c r="H56" s="137" t="s">
        <v>90</v>
      </c>
      <c r="I56" s="25">
        <v>700000</v>
      </c>
      <c r="J56" s="25"/>
      <c r="K56" s="437">
        <f t="shared" si="0"/>
        <v>0</v>
      </c>
    </row>
    <row r="57" spans="1:11" ht="12" customHeight="1">
      <c r="A57" s="37" t="s">
        <v>24</v>
      </c>
      <c r="B57" s="181" t="s">
        <v>63</v>
      </c>
      <c r="C57" s="51" t="s">
        <v>8</v>
      </c>
      <c r="D57" s="6" t="s">
        <v>103</v>
      </c>
      <c r="E57" s="6"/>
      <c r="F57" s="6"/>
      <c r="G57" s="6"/>
      <c r="H57" s="131"/>
      <c r="I57" s="26">
        <f>I58+I63</f>
        <v>6135516.45</v>
      </c>
      <c r="J57" s="26">
        <f>J58+J63</f>
        <v>5798863.74</v>
      </c>
      <c r="K57" s="437">
        <f t="shared" si="0"/>
        <v>94.51305016059406</v>
      </c>
    </row>
    <row r="58" spans="1:11" ht="18.75" customHeight="1">
      <c r="A58" s="73" t="s">
        <v>77</v>
      </c>
      <c r="B58" s="181" t="s">
        <v>63</v>
      </c>
      <c r="C58" s="50" t="s">
        <v>8</v>
      </c>
      <c r="D58" s="12" t="s">
        <v>103</v>
      </c>
      <c r="E58" s="12" t="s">
        <v>78</v>
      </c>
      <c r="F58" s="12" t="s">
        <v>33</v>
      </c>
      <c r="G58" s="12" t="s">
        <v>33</v>
      </c>
      <c r="H58" s="97"/>
      <c r="I58" s="24">
        <f>I59+I61</f>
        <v>5556475.45</v>
      </c>
      <c r="J58" s="24">
        <f>J59+J61</f>
        <v>5219822.74</v>
      </c>
      <c r="K58" s="437">
        <f t="shared" si="0"/>
        <v>93.9412544331497</v>
      </c>
    </row>
    <row r="59" spans="1:11" ht="27" customHeight="1">
      <c r="A59" s="46" t="s">
        <v>3</v>
      </c>
      <c r="B59" s="181" t="s">
        <v>63</v>
      </c>
      <c r="C59" s="53" t="s">
        <v>8</v>
      </c>
      <c r="D59" s="41" t="s">
        <v>103</v>
      </c>
      <c r="E59" s="41" t="s">
        <v>78</v>
      </c>
      <c r="F59" s="41" t="s">
        <v>19</v>
      </c>
      <c r="G59" s="41" t="s">
        <v>33</v>
      </c>
      <c r="H59" s="98"/>
      <c r="I59" s="42">
        <f>I60</f>
        <v>1348475.45</v>
      </c>
      <c r="J59" s="42">
        <f>J60</f>
        <v>1348475.45</v>
      </c>
      <c r="K59" s="437">
        <f t="shared" si="0"/>
        <v>100</v>
      </c>
    </row>
    <row r="60" spans="1:11" ht="18.75" customHeight="1">
      <c r="A60" s="72" t="s">
        <v>79</v>
      </c>
      <c r="B60" s="181" t="s">
        <v>63</v>
      </c>
      <c r="C60" s="52" t="s">
        <v>8</v>
      </c>
      <c r="D60" s="7" t="s">
        <v>103</v>
      </c>
      <c r="E60" s="7" t="s">
        <v>78</v>
      </c>
      <c r="F60" s="7" t="s">
        <v>19</v>
      </c>
      <c r="G60" s="7" t="s">
        <v>33</v>
      </c>
      <c r="H60" s="96" t="s">
        <v>87</v>
      </c>
      <c r="I60" s="25">
        <v>1348475.45</v>
      </c>
      <c r="J60" s="25">
        <v>1348475.45</v>
      </c>
      <c r="K60" s="437">
        <f t="shared" si="0"/>
        <v>100</v>
      </c>
    </row>
    <row r="61" spans="1:11" ht="16.5" customHeight="1">
      <c r="A61" s="194" t="s">
        <v>166</v>
      </c>
      <c r="B61" s="181" t="s">
        <v>63</v>
      </c>
      <c r="C61" s="195" t="s">
        <v>8</v>
      </c>
      <c r="D61" s="196" t="s">
        <v>103</v>
      </c>
      <c r="E61" s="196" t="s">
        <v>78</v>
      </c>
      <c r="F61" s="196" t="s">
        <v>19</v>
      </c>
      <c r="G61" s="196" t="s">
        <v>15</v>
      </c>
      <c r="H61" s="197"/>
      <c r="I61" s="198">
        <f>I62</f>
        <v>4208000</v>
      </c>
      <c r="J61" s="198">
        <f>J62</f>
        <v>3871347.29</v>
      </c>
      <c r="K61" s="437">
        <f t="shared" si="0"/>
        <v>91.99969795627376</v>
      </c>
    </row>
    <row r="62" spans="1:11" ht="18.75" customHeight="1">
      <c r="A62" s="72" t="s">
        <v>167</v>
      </c>
      <c r="B62" s="181" t="s">
        <v>63</v>
      </c>
      <c r="C62" s="199" t="s">
        <v>8</v>
      </c>
      <c r="D62" s="200" t="s">
        <v>103</v>
      </c>
      <c r="E62" s="200" t="s">
        <v>78</v>
      </c>
      <c r="F62" s="200" t="s">
        <v>19</v>
      </c>
      <c r="G62" s="200" t="s">
        <v>15</v>
      </c>
      <c r="H62" s="201" t="s">
        <v>87</v>
      </c>
      <c r="I62" s="202">
        <v>4208000</v>
      </c>
      <c r="J62" s="202">
        <v>3871347.29</v>
      </c>
      <c r="K62" s="437">
        <f t="shared" si="0"/>
        <v>91.99969795627376</v>
      </c>
    </row>
    <row r="63" spans="1:13" ht="15.75" customHeight="1">
      <c r="A63" s="80" t="s">
        <v>59</v>
      </c>
      <c r="B63" s="181" t="s">
        <v>63</v>
      </c>
      <c r="C63" s="61" t="s">
        <v>8</v>
      </c>
      <c r="D63" s="19" t="s">
        <v>103</v>
      </c>
      <c r="E63" s="19" t="s">
        <v>58</v>
      </c>
      <c r="F63" s="19" t="s">
        <v>33</v>
      </c>
      <c r="G63" s="19" t="s">
        <v>33</v>
      </c>
      <c r="H63" s="138"/>
      <c r="I63" s="24">
        <f>I65</f>
        <v>579041</v>
      </c>
      <c r="J63" s="24">
        <f>J65</f>
        <v>579041</v>
      </c>
      <c r="K63" s="437">
        <f t="shared" si="0"/>
        <v>100</v>
      </c>
      <c r="M63">
        <v>750</v>
      </c>
    </row>
    <row r="64" spans="1:11" ht="15.75" customHeight="1">
      <c r="A64" s="46" t="s">
        <v>162</v>
      </c>
      <c r="B64" s="181" t="s">
        <v>63</v>
      </c>
      <c r="C64" s="62" t="s">
        <v>8</v>
      </c>
      <c r="D64" s="41" t="s">
        <v>103</v>
      </c>
      <c r="E64" s="41" t="s">
        <v>58</v>
      </c>
      <c r="F64" s="41" t="s">
        <v>10</v>
      </c>
      <c r="G64" s="41" t="s">
        <v>33</v>
      </c>
      <c r="H64" s="98"/>
      <c r="I64" s="42">
        <f>I65</f>
        <v>579041</v>
      </c>
      <c r="J64" s="42">
        <f>J65</f>
        <v>579041</v>
      </c>
      <c r="K64" s="437">
        <f t="shared" si="0"/>
        <v>100</v>
      </c>
    </row>
    <row r="65" spans="1:11" ht="27.75" customHeight="1">
      <c r="A65" s="72" t="s">
        <v>79</v>
      </c>
      <c r="B65" s="181" t="s">
        <v>63</v>
      </c>
      <c r="C65" s="63" t="s">
        <v>8</v>
      </c>
      <c r="D65" s="7" t="s">
        <v>103</v>
      </c>
      <c r="E65" s="7" t="s">
        <v>58</v>
      </c>
      <c r="F65" s="7" t="s">
        <v>10</v>
      </c>
      <c r="G65" s="7" t="s">
        <v>33</v>
      </c>
      <c r="H65" s="96" t="s">
        <v>87</v>
      </c>
      <c r="I65" s="25">
        <v>579041</v>
      </c>
      <c r="J65" s="25">
        <v>579041</v>
      </c>
      <c r="K65" s="437">
        <f t="shared" si="0"/>
        <v>100</v>
      </c>
    </row>
    <row r="66" spans="1:11" ht="18.75" customHeight="1">
      <c r="A66" s="118" t="s">
        <v>133</v>
      </c>
      <c r="B66" s="182" t="s">
        <v>63</v>
      </c>
      <c r="C66" s="119" t="s">
        <v>16</v>
      </c>
      <c r="D66" s="119"/>
      <c r="E66" s="164"/>
      <c r="F66" s="171"/>
      <c r="G66" s="171"/>
      <c r="H66" s="165"/>
      <c r="I66" s="172">
        <f aca="true" t="shared" si="2" ref="I66:J69">I67</f>
        <v>591700</v>
      </c>
      <c r="J66" s="172">
        <f t="shared" si="2"/>
        <v>591700</v>
      </c>
      <c r="K66" s="437">
        <f t="shared" si="0"/>
        <v>100</v>
      </c>
    </row>
    <row r="67" spans="1:11" ht="17.25" customHeight="1">
      <c r="A67" s="173" t="s">
        <v>134</v>
      </c>
      <c r="B67" s="181" t="s">
        <v>63</v>
      </c>
      <c r="C67" s="174" t="s">
        <v>16</v>
      </c>
      <c r="D67" s="6" t="s">
        <v>18</v>
      </c>
      <c r="E67" s="6"/>
      <c r="F67" s="6"/>
      <c r="G67" s="6"/>
      <c r="H67" s="175"/>
      <c r="I67" s="26">
        <f t="shared" si="2"/>
        <v>591700</v>
      </c>
      <c r="J67" s="26">
        <f t="shared" si="2"/>
        <v>591700</v>
      </c>
      <c r="K67" s="437">
        <f t="shared" si="0"/>
        <v>100</v>
      </c>
    </row>
    <row r="68" spans="1:11" ht="17.25" customHeight="1">
      <c r="A68" s="157" t="s">
        <v>115</v>
      </c>
      <c r="B68" s="181" t="s">
        <v>63</v>
      </c>
      <c r="C68" s="176" t="s">
        <v>16</v>
      </c>
      <c r="D68" s="19" t="s">
        <v>18</v>
      </c>
      <c r="E68" s="19" t="s">
        <v>31</v>
      </c>
      <c r="F68" s="19" t="s">
        <v>33</v>
      </c>
      <c r="G68" s="19" t="s">
        <v>33</v>
      </c>
      <c r="H68" s="177"/>
      <c r="I68" s="24">
        <f t="shared" si="2"/>
        <v>591700</v>
      </c>
      <c r="J68" s="24">
        <f t="shared" si="2"/>
        <v>591700</v>
      </c>
      <c r="K68" s="437">
        <f t="shared" si="0"/>
        <v>100</v>
      </c>
    </row>
    <row r="69" spans="1:11" ht="21" customHeight="1">
      <c r="A69" s="111" t="s">
        <v>106</v>
      </c>
      <c r="B69" s="181" t="s">
        <v>63</v>
      </c>
      <c r="C69" s="53" t="s">
        <v>16</v>
      </c>
      <c r="D69" s="41" t="s">
        <v>18</v>
      </c>
      <c r="E69" s="41" t="s">
        <v>31</v>
      </c>
      <c r="F69" s="41" t="s">
        <v>70</v>
      </c>
      <c r="G69" s="41" t="s">
        <v>33</v>
      </c>
      <c r="H69" s="178"/>
      <c r="I69" s="42">
        <f t="shared" si="2"/>
        <v>591700</v>
      </c>
      <c r="J69" s="42">
        <f t="shared" si="2"/>
        <v>591700</v>
      </c>
      <c r="K69" s="437">
        <f t="shared" si="0"/>
        <v>100</v>
      </c>
    </row>
    <row r="70" spans="1:11" ht="29.25" customHeight="1">
      <c r="A70" s="179" t="s">
        <v>105</v>
      </c>
      <c r="B70" s="181" t="s">
        <v>63</v>
      </c>
      <c r="C70" s="52" t="s">
        <v>16</v>
      </c>
      <c r="D70" s="7" t="s">
        <v>18</v>
      </c>
      <c r="E70" s="7" t="s">
        <v>31</v>
      </c>
      <c r="F70" s="7" t="s">
        <v>70</v>
      </c>
      <c r="G70" s="7" t="s">
        <v>33</v>
      </c>
      <c r="H70" s="180" t="s">
        <v>107</v>
      </c>
      <c r="I70" s="25">
        <v>591700</v>
      </c>
      <c r="J70" s="25">
        <v>591700</v>
      </c>
      <c r="K70" s="437">
        <f t="shared" si="0"/>
        <v>100</v>
      </c>
    </row>
    <row r="71" spans="1:11" ht="15.75" customHeight="1">
      <c r="A71" s="118" t="s">
        <v>55</v>
      </c>
      <c r="B71" s="182" t="s">
        <v>63</v>
      </c>
      <c r="C71" s="119" t="s">
        <v>19</v>
      </c>
      <c r="D71" s="120"/>
      <c r="E71" s="108"/>
      <c r="F71" s="121"/>
      <c r="G71" s="121"/>
      <c r="H71" s="139"/>
      <c r="I71" s="27">
        <f>I72+I77</f>
        <v>12699871</v>
      </c>
      <c r="J71" s="27">
        <f>J72+J77</f>
        <v>11538820.49</v>
      </c>
      <c r="K71" s="437">
        <f t="shared" si="0"/>
        <v>90.85777713805125</v>
      </c>
    </row>
    <row r="72" spans="1:11" ht="18" customHeight="1">
      <c r="A72" s="447" t="s">
        <v>525</v>
      </c>
      <c r="B72" s="181" t="s">
        <v>63</v>
      </c>
      <c r="C72" s="448" t="s">
        <v>19</v>
      </c>
      <c r="D72" s="448" t="s">
        <v>12</v>
      </c>
      <c r="E72" s="271"/>
      <c r="F72" s="272"/>
      <c r="G72" s="272"/>
      <c r="H72" s="449"/>
      <c r="I72" s="218">
        <f>I73+I75</f>
        <v>9433000</v>
      </c>
      <c r="J72" s="218">
        <f>J73+J75</f>
        <v>9038630.49</v>
      </c>
      <c r="K72" s="437">
        <f t="shared" si="0"/>
        <v>95.81925675818934</v>
      </c>
    </row>
    <row r="73" spans="1:11" ht="16.5" customHeight="1">
      <c r="A73" s="223" t="s">
        <v>526</v>
      </c>
      <c r="B73" s="181" t="s">
        <v>63</v>
      </c>
      <c r="C73" s="261" t="s">
        <v>19</v>
      </c>
      <c r="D73" s="261" t="s">
        <v>12</v>
      </c>
      <c r="E73" s="262" t="s">
        <v>212</v>
      </c>
      <c r="F73" s="275" t="s">
        <v>9</v>
      </c>
      <c r="G73" s="275" t="s">
        <v>16</v>
      </c>
      <c r="H73" s="263"/>
      <c r="I73" s="198">
        <f>I74</f>
        <v>9270000</v>
      </c>
      <c r="J73" s="198">
        <f>J74</f>
        <v>8875630.49</v>
      </c>
      <c r="K73" s="437">
        <f t="shared" si="0"/>
        <v>95.74574422869472</v>
      </c>
    </row>
    <row r="74" spans="1:11" ht="41.25" customHeight="1">
      <c r="A74" s="204" t="s">
        <v>105</v>
      </c>
      <c r="B74" s="181" t="s">
        <v>63</v>
      </c>
      <c r="C74" s="276" t="s">
        <v>19</v>
      </c>
      <c r="D74" s="277" t="s">
        <v>12</v>
      </c>
      <c r="E74" s="278" t="s">
        <v>212</v>
      </c>
      <c r="F74" s="278" t="s">
        <v>9</v>
      </c>
      <c r="G74" s="278" t="s">
        <v>16</v>
      </c>
      <c r="H74" s="278" t="s">
        <v>107</v>
      </c>
      <c r="I74" s="202">
        <v>9270000</v>
      </c>
      <c r="J74" s="202">
        <v>8875630.49</v>
      </c>
      <c r="K74" s="437">
        <f t="shared" si="0"/>
        <v>95.74574422869472</v>
      </c>
    </row>
    <row r="75" spans="1:11" ht="16.5" customHeight="1">
      <c r="A75" s="223" t="s">
        <v>552</v>
      </c>
      <c r="B75" s="181" t="s">
        <v>63</v>
      </c>
      <c r="C75" s="261" t="s">
        <v>19</v>
      </c>
      <c r="D75" s="261" t="s">
        <v>12</v>
      </c>
      <c r="E75" s="262" t="s">
        <v>212</v>
      </c>
      <c r="F75" s="275" t="s">
        <v>553</v>
      </c>
      <c r="G75" s="275" t="s">
        <v>33</v>
      </c>
      <c r="H75" s="263"/>
      <c r="I75" s="198">
        <f>I76</f>
        <v>163000</v>
      </c>
      <c r="J75" s="198">
        <f>J76</f>
        <v>163000</v>
      </c>
      <c r="K75" s="437">
        <f t="shared" si="0"/>
        <v>100</v>
      </c>
    </row>
    <row r="76" spans="1:11" ht="34.5" customHeight="1">
      <c r="A76" s="204" t="s">
        <v>105</v>
      </c>
      <c r="B76" s="181" t="s">
        <v>63</v>
      </c>
      <c r="C76" s="276" t="s">
        <v>19</v>
      </c>
      <c r="D76" s="277" t="s">
        <v>12</v>
      </c>
      <c r="E76" s="278" t="s">
        <v>212</v>
      </c>
      <c r="F76" s="278" t="s">
        <v>553</v>
      </c>
      <c r="G76" s="278" t="s">
        <v>33</v>
      </c>
      <c r="H76" s="278" t="s">
        <v>107</v>
      </c>
      <c r="I76" s="202">
        <v>163000</v>
      </c>
      <c r="J76" s="202">
        <v>163000</v>
      </c>
      <c r="K76" s="437">
        <f t="shared" si="0"/>
        <v>100</v>
      </c>
    </row>
    <row r="77" spans="1:11" ht="16.5" customHeight="1">
      <c r="A77" s="122" t="s">
        <v>99</v>
      </c>
      <c r="B77" s="181" t="s">
        <v>63</v>
      </c>
      <c r="C77" s="55" t="s">
        <v>19</v>
      </c>
      <c r="D77" s="87" t="s">
        <v>13</v>
      </c>
      <c r="E77" s="6"/>
      <c r="F77" s="9"/>
      <c r="G77" s="9"/>
      <c r="H77" s="131"/>
      <c r="I77" s="26">
        <f>I78+I80+I82+I85</f>
        <v>3266871</v>
      </c>
      <c r="J77" s="26">
        <f>J78+J80+J82+J85</f>
        <v>2500190</v>
      </c>
      <c r="K77" s="437">
        <f t="shared" si="0"/>
        <v>76.53164143916304</v>
      </c>
    </row>
    <row r="78" spans="1:11" ht="25.5" customHeight="1">
      <c r="A78" s="259" t="s">
        <v>217</v>
      </c>
      <c r="B78" s="181" t="s">
        <v>63</v>
      </c>
      <c r="C78" s="251" t="s">
        <v>19</v>
      </c>
      <c r="D78" s="252" t="s">
        <v>13</v>
      </c>
      <c r="E78" s="253" t="s">
        <v>218</v>
      </c>
      <c r="F78" s="254" t="s">
        <v>33</v>
      </c>
      <c r="G78" s="254" t="s">
        <v>33</v>
      </c>
      <c r="H78" s="255"/>
      <c r="I78" s="237">
        <f>I79</f>
        <v>496000</v>
      </c>
      <c r="J78" s="237">
        <f>J79</f>
        <v>496000</v>
      </c>
      <c r="K78" s="437">
        <f t="shared" si="0"/>
        <v>100</v>
      </c>
    </row>
    <row r="79" spans="1:11" ht="16.5" customHeight="1">
      <c r="A79" s="72" t="s">
        <v>79</v>
      </c>
      <c r="B79" s="181" t="s">
        <v>63</v>
      </c>
      <c r="C79" s="256" t="s">
        <v>19</v>
      </c>
      <c r="D79" s="257" t="s">
        <v>13</v>
      </c>
      <c r="E79" s="258" t="s">
        <v>218</v>
      </c>
      <c r="F79" s="229" t="s">
        <v>33</v>
      </c>
      <c r="G79" s="229" t="s">
        <v>33</v>
      </c>
      <c r="H79" s="201" t="s">
        <v>87</v>
      </c>
      <c r="I79" s="202">
        <v>496000</v>
      </c>
      <c r="J79" s="202">
        <v>496000</v>
      </c>
      <c r="K79" s="437">
        <f t="shared" si="0"/>
        <v>100</v>
      </c>
    </row>
    <row r="80" spans="1:11" ht="25.5" customHeight="1">
      <c r="A80" s="194" t="s">
        <v>541</v>
      </c>
      <c r="B80" s="181" t="s">
        <v>63</v>
      </c>
      <c r="C80" s="251" t="s">
        <v>19</v>
      </c>
      <c r="D80" s="252" t="s">
        <v>13</v>
      </c>
      <c r="E80" s="253" t="s">
        <v>542</v>
      </c>
      <c r="F80" s="254" t="s">
        <v>8</v>
      </c>
      <c r="G80" s="254" t="s">
        <v>33</v>
      </c>
      <c r="H80" s="255"/>
      <c r="I80" s="237">
        <f>I81</f>
        <v>2413337</v>
      </c>
      <c r="J80" s="237">
        <f>J81</f>
        <v>1646656</v>
      </c>
      <c r="K80" s="437">
        <f>J80/I80*100</f>
        <v>68.23149854330332</v>
      </c>
    </row>
    <row r="81" spans="1:11" ht="16.5" customHeight="1">
      <c r="A81" s="72" t="s">
        <v>79</v>
      </c>
      <c r="B81" s="181" t="s">
        <v>63</v>
      </c>
      <c r="C81" s="256" t="s">
        <v>19</v>
      </c>
      <c r="D81" s="257" t="s">
        <v>13</v>
      </c>
      <c r="E81" s="258" t="s">
        <v>542</v>
      </c>
      <c r="F81" s="229" t="s">
        <v>8</v>
      </c>
      <c r="G81" s="229" t="s">
        <v>33</v>
      </c>
      <c r="H81" s="201" t="s">
        <v>87</v>
      </c>
      <c r="I81" s="202">
        <v>2413337</v>
      </c>
      <c r="J81" s="202">
        <v>1646656</v>
      </c>
      <c r="K81" s="437">
        <f>J81/I81*100</f>
        <v>68.23149854330332</v>
      </c>
    </row>
    <row r="82" spans="1:11" ht="18" customHeight="1">
      <c r="A82" s="247" t="s">
        <v>211</v>
      </c>
      <c r="B82" s="181" t="s">
        <v>63</v>
      </c>
      <c r="C82" s="230" t="s">
        <v>19</v>
      </c>
      <c r="D82" s="231" t="s">
        <v>13</v>
      </c>
      <c r="E82" s="231" t="s">
        <v>212</v>
      </c>
      <c r="F82" s="231" t="s">
        <v>33</v>
      </c>
      <c r="G82" s="231" t="s">
        <v>33</v>
      </c>
      <c r="H82" s="232"/>
      <c r="I82" s="233">
        <f>I83</f>
        <v>303334</v>
      </c>
      <c r="J82" s="233">
        <f>J83</f>
        <v>303334</v>
      </c>
      <c r="K82" s="437">
        <f t="shared" si="0"/>
        <v>100</v>
      </c>
    </row>
    <row r="83" spans="1:11" ht="18.75" customHeight="1">
      <c r="A83" s="194" t="s">
        <v>216</v>
      </c>
      <c r="B83" s="181" t="s">
        <v>63</v>
      </c>
      <c r="C83" s="251" t="s">
        <v>19</v>
      </c>
      <c r="D83" s="252" t="s">
        <v>13</v>
      </c>
      <c r="E83" s="253" t="s">
        <v>212</v>
      </c>
      <c r="F83" s="254" t="s">
        <v>12</v>
      </c>
      <c r="G83" s="254" t="s">
        <v>33</v>
      </c>
      <c r="H83" s="255"/>
      <c r="I83" s="237">
        <f>I84</f>
        <v>303334</v>
      </c>
      <c r="J83" s="237">
        <f>J84</f>
        <v>303334</v>
      </c>
      <c r="K83" s="437">
        <f t="shared" si="0"/>
        <v>100</v>
      </c>
    </row>
    <row r="84" spans="1:11" ht="15" customHeight="1">
      <c r="A84" s="72" t="s">
        <v>201</v>
      </c>
      <c r="B84" s="181" t="s">
        <v>63</v>
      </c>
      <c r="C84" s="256" t="s">
        <v>19</v>
      </c>
      <c r="D84" s="257" t="s">
        <v>13</v>
      </c>
      <c r="E84" s="258" t="s">
        <v>212</v>
      </c>
      <c r="F84" s="229" t="s">
        <v>12</v>
      </c>
      <c r="G84" s="229" t="s">
        <v>33</v>
      </c>
      <c r="H84" s="201" t="s">
        <v>87</v>
      </c>
      <c r="I84" s="202">
        <v>303334</v>
      </c>
      <c r="J84" s="202">
        <v>303334</v>
      </c>
      <c r="K84" s="437">
        <f t="shared" si="0"/>
        <v>100</v>
      </c>
    </row>
    <row r="85" spans="1:11" ht="28.5" customHeight="1">
      <c r="A85" s="80" t="s">
        <v>59</v>
      </c>
      <c r="B85" s="181" t="s">
        <v>63</v>
      </c>
      <c r="C85" s="61" t="s">
        <v>19</v>
      </c>
      <c r="D85" s="19" t="s">
        <v>13</v>
      </c>
      <c r="E85" s="19" t="s">
        <v>58</v>
      </c>
      <c r="F85" s="19" t="s">
        <v>33</v>
      </c>
      <c r="G85" s="19" t="s">
        <v>33</v>
      </c>
      <c r="H85" s="138"/>
      <c r="I85" s="24">
        <f>I86+I89</f>
        <v>54200</v>
      </c>
      <c r="J85" s="24">
        <f>J86+J89</f>
        <v>54200</v>
      </c>
      <c r="K85" s="437">
        <f t="shared" si="0"/>
        <v>100</v>
      </c>
    </row>
    <row r="86" spans="1:11" ht="15" customHeight="1">
      <c r="A86" s="193" t="s">
        <v>163</v>
      </c>
      <c r="B86" s="181" t="s">
        <v>63</v>
      </c>
      <c r="C86" s="43" t="s">
        <v>19</v>
      </c>
      <c r="D86" s="86" t="s">
        <v>13</v>
      </c>
      <c r="E86" s="41" t="s">
        <v>58</v>
      </c>
      <c r="F86" s="44" t="s">
        <v>19</v>
      </c>
      <c r="G86" s="44" t="s">
        <v>33</v>
      </c>
      <c r="H86" s="98"/>
      <c r="I86" s="42">
        <f>I87</f>
        <v>53000</v>
      </c>
      <c r="J86" s="42">
        <f>J87</f>
        <v>53000</v>
      </c>
      <c r="K86" s="437">
        <f t="shared" si="0"/>
        <v>100</v>
      </c>
    </row>
    <row r="87" spans="1:11" ht="19.5" customHeight="1">
      <c r="A87" s="112" t="s">
        <v>79</v>
      </c>
      <c r="B87" s="181" t="s">
        <v>63</v>
      </c>
      <c r="C87" s="21" t="s">
        <v>19</v>
      </c>
      <c r="D87" s="7" t="s">
        <v>13</v>
      </c>
      <c r="E87" s="7" t="s">
        <v>58</v>
      </c>
      <c r="F87" s="8" t="s">
        <v>19</v>
      </c>
      <c r="G87" s="8" t="s">
        <v>33</v>
      </c>
      <c r="H87" s="7" t="s">
        <v>87</v>
      </c>
      <c r="I87" s="25">
        <v>53000</v>
      </c>
      <c r="J87" s="25">
        <v>53000</v>
      </c>
      <c r="K87" s="437">
        <f t="shared" si="0"/>
        <v>100</v>
      </c>
    </row>
    <row r="88" spans="1:11" ht="27.75" customHeight="1">
      <c r="A88" s="156" t="s">
        <v>183</v>
      </c>
      <c r="B88" s="181" t="s">
        <v>63</v>
      </c>
      <c r="C88" s="43" t="s">
        <v>19</v>
      </c>
      <c r="D88" s="41" t="s">
        <v>13</v>
      </c>
      <c r="E88" s="41" t="s">
        <v>58</v>
      </c>
      <c r="F88" s="44" t="s">
        <v>13</v>
      </c>
      <c r="G88" s="44" t="s">
        <v>33</v>
      </c>
      <c r="H88" s="41"/>
      <c r="I88" s="42">
        <f>I89</f>
        <v>1200</v>
      </c>
      <c r="J88" s="42">
        <f>J89</f>
        <v>1200</v>
      </c>
      <c r="K88" s="437">
        <f aca="true" t="shared" si="3" ref="K88:K158">J88/I88*100</f>
        <v>100</v>
      </c>
    </row>
    <row r="89" spans="1:11" ht="24" customHeight="1">
      <c r="A89" s="112" t="s">
        <v>79</v>
      </c>
      <c r="B89" s="181" t="s">
        <v>63</v>
      </c>
      <c r="C89" s="21" t="s">
        <v>19</v>
      </c>
      <c r="D89" s="7" t="s">
        <v>13</v>
      </c>
      <c r="E89" s="7" t="s">
        <v>58</v>
      </c>
      <c r="F89" s="8" t="s">
        <v>13</v>
      </c>
      <c r="G89" s="8" t="s">
        <v>33</v>
      </c>
      <c r="H89" s="7" t="s">
        <v>87</v>
      </c>
      <c r="I89" s="25">
        <f>600000-598800</f>
        <v>1200</v>
      </c>
      <c r="J89" s="25">
        <f>600000-598800</f>
        <v>1200</v>
      </c>
      <c r="K89" s="437">
        <f t="shared" si="3"/>
        <v>100</v>
      </c>
    </row>
    <row r="90" spans="1:11" ht="16.5" customHeight="1">
      <c r="A90" s="77" t="s">
        <v>50</v>
      </c>
      <c r="B90" s="182" t="s">
        <v>63</v>
      </c>
      <c r="C90" s="58" t="s">
        <v>15</v>
      </c>
      <c r="D90" s="16"/>
      <c r="E90" s="16"/>
      <c r="F90" s="16"/>
      <c r="G90" s="16"/>
      <c r="H90" s="140"/>
      <c r="I90" s="27">
        <f>I91+I94+I107+I113</f>
        <v>78203903.07000001</v>
      </c>
      <c r="J90" s="27">
        <f>J91+J94+J107+J113</f>
        <v>45234278.37</v>
      </c>
      <c r="K90" s="437">
        <f t="shared" si="3"/>
        <v>57.84145879459619</v>
      </c>
    </row>
    <row r="91" spans="1:11" ht="18.75" customHeight="1">
      <c r="A91" s="215" t="s">
        <v>219</v>
      </c>
      <c r="B91" s="181" t="s">
        <v>63</v>
      </c>
      <c r="C91" s="216" t="s">
        <v>15</v>
      </c>
      <c r="D91" s="224" t="s">
        <v>8</v>
      </c>
      <c r="E91" s="217"/>
      <c r="F91" s="217"/>
      <c r="G91" s="217"/>
      <c r="H91" s="225"/>
      <c r="I91" s="218">
        <f>I92</f>
        <v>10287526.2</v>
      </c>
      <c r="J91" s="218">
        <f>J92</f>
        <v>0</v>
      </c>
      <c r="K91" s="437">
        <f t="shared" si="3"/>
        <v>0</v>
      </c>
    </row>
    <row r="92" spans="1:11" ht="17.25" customHeight="1">
      <c r="A92" s="260" t="s">
        <v>220</v>
      </c>
      <c r="B92" s="181" t="s">
        <v>63</v>
      </c>
      <c r="C92" s="261" t="s">
        <v>15</v>
      </c>
      <c r="D92" s="262" t="s">
        <v>8</v>
      </c>
      <c r="E92" s="262" t="s">
        <v>221</v>
      </c>
      <c r="F92" s="262" t="s">
        <v>8</v>
      </c>
      <c r="G92" s="262" t="s">
        <v>19</v>
      </c>
      <c r="H92" s="263"/>
      <c r="I92" s="198">
        <f>I93</f>
        <v>10287526.2</v>
      </c>
      <c r="J92" s="198">
        <f>J93</f>
        <v>0</v>
      </c>
      <c r="K92" s="437">
        <f t="shared" si="3"/>
        <v>0</v>
      </c>
    </row>
    <row r="93" spans="1:11" ht="32.25" customHeight="1">
      <c r="A93" s="264" t="s">
        <v>222</v>
      </c>
      <c r="B93" s="181" t="s">
        <v>63</v>
      </c>
      <c r="C93" s="256" t="s">
        <v>15</v>
      </c>
      <c r="D93" s="265" t="s">
        <v>8</v>
      </c>
      <c r="E93" s="265" t="s">
        <v>221</v>
      </c>
      <c r="F93" s="265" t="s">
        <v>8</v>
      </c>
      <c r="G93" s="265" t="s">
        <v>19</v>
      </c>
      <c r="H93" s="266" t="s">
        <v>223</v>
      </c>
      <c r="I93" s="202">
        <v>10287526.2</v>
      </c>
      <c r="J93" s="202"/>
      <c r="K93" s="437">
        <f t="shared" si="3"/>
        <v>0</v>
      </c>
    </row>
    <row r="94" spans="1:11" ht="17.25" customHeight="1">
      <c r="A94" s="215" t="s">
        <v>188</v>
      </c>
      <c r="B94" s="181" t="s">
        <v>63</v>
      </c>
      <c r="C94" s="216" t="s">
        <v>15</v>
      </c>
      <c r="D94" s="224" t="s">
        <v>16</v>
      </c>
      <c r="E94" s="217"/>
      <c r="F94" s="217"/>
      <c r="G94" s="217"/>
      <c r="H94" s="225"/>
      <c r="I94" s="218">
        <f>I95+I97+I99+I101+I105</f>
        <v>67660349.9</v>
      </c>
      <c r="J94" s="218">
        <f>J95+J97+J99+J101+J105</f>
        <v>44988951.3</v>
      </c>
      <c r="K94" s="437">
        <f t="shared" si="3"/>
        <v>66.49234206812754</v>
      </c>
    </row>
    <row r="95" spans="1:11" ht="16.5" customHeight="1">
      <c r="A95" s="223" t="s">
        <v>193</v>
      </c>
      <c r="B95" s="181" t="s">
        <v>63</v>
      </c>
      <c r="C95" s="226" t="s">
        <v>15</v>
      </c>
      <c r="D95" s="227" t="s">
        <v>16</v>
      </c>
      <c r="E95" s="196" t="s">
        <v>191</v>
      </c>
      <c r="F95" s="196" t="s">
        <v>192</v>
      </c>
      <c r="G95" s="196" t="s">
        <v>33</v>
      </c>
      <c r="H95" s="205"/>
      <c r="I95" s="198">
        <f>I96</f>
        <v>55138000</v>
      </c>
      <c r="J95" s="198">
        <f>J96</f>
        <v>32687633.52</v>
      </c>
      <c r="K95" s="437">
        <f t="shared" si="3"/>
        <v>59.28331372193405</v>
      </c>
    </row>
    <row r="96" spans="1:11" ht="18" customHeight="1">
      <c r="A96" s="75" t="s">
        <v>105</v>
      </c>
      <c r="B96" s="181" t="s">
        <v>63</v>
      </c>
      <c r="C96" s="228" t="s">
        <v>15</v>
      </c>
      <c r="D96" s="229" t="s">
        <v>16</v>
      </c>
      <c r="E96" s="200" t="s">
        <v>191</v>
      </c>
      <c r="F96" s="200" t="s">
        <v>192</v>
      </c>
      <c r="G96" s="200" t="s">
        <v>33</v>
      </c>
      <c r="H96" s="206" t="s">
        <v>107</v>
      </c>
      <c r="I96" s="202">
        <v>55138000</v>
      </c>
      <c r="J96" s="202">
        <v>32687633.52</v>
      </c>
      <c r="K96" s="437">
        <f t="shared" si="3"/>
        <v>59.28331372193405</v>
      </c>
    </row>
    <row r="97" spans="1:11" ht="32.25" customHeight="1">
      <c r="A97" s="223" t="s">
        <v>189</v>
      </c>
      <c r="B97" s="181" t="s">
        <v>63</v>
      </c>
      <c r="C97" s="226" t="s">
        <v>15</v>
      </c>
      <c r="D97" s="227" t="s">
        <v>16</v>
      </c>
      <c r="E97" s="196" t="s">
        <v>32</v>
      </c>
      <c r="F97" s="196" t="s">
        <v>190</v>
      </c>
      <c r="G97" s="196" t="s">
        <v>33</v>
      </c>
      <c r="H97" s="205"/>
      <c r="I97" s="198">
        <f>I98</f>
        <v>5500000</v>
      </c>
      <c r="J97" s="198">
        <f>J98</f>
        <v>5500000</v>
      </c>
      <c r="K97" s="437">
        <f t="shared" si="3"/>
        <v>100</v>
      </c>
    </row>
    <row r="98" spans="1:11" ht="36.75" customHeight="1">
      <c r="A98" s="75" t="s">
        <v>215</v>
      </c>
      <c r="B98" s="181" t="s">
        <v>63</v>
      </c>
      <c r="C98" s="228" t="s">
        <v>15</v>
      </c>
      <c r="D98" s="229" t="s">
        <v>16</v>
      </c>
      <c r="E98" s="200" t="s">
        <v>32</v>
      </c>
      <c r="F98" s="200" t="s">
        <v>190</v>
      </c>
      <c r="G98" s="200" t="s">
        <v>33</v>
      </c>
      <c r="H98" s="206" t="s">
        <v>107</v>
      </c>
      <c r="I98" s="202">
        <v>5500000</v>
      </c>
      <c r="J98" s="202">
        <v>5500000</v>
      </c>
      <c r="K98" s="437">
        <f t="shared" si="3"/>
        <v>100</v>
      </c>
    </row>
    <row r="99" spans="1:11" ht="14.25" customHeight="1">
      <c r="A99" s="223" t="s">
        <v>594</v>
      </c>
      <c r="B99" s="181" t="s">
        <v>63</v>
      </c>
      <c r="C99" s="279" t="s">
        <v>15</v>
      </c>
      <c r="D99" s="280" t="s">
        <v>16</v>
      </c>
      <c r="E99" s="281" t="s">
        <v>4</v>
      </c>
      <c r="F99" s="280" t="s">
        <v>234</v>
      </c>
      <c r="G99" s="280" t="s">
        <v>33</v>
      </c>
      <c r="H99" s="282"/>
      <c r="I99" s="283">
        <f>I100</f>
        <v>540990.5</v>
      </c>
      <c r="J99" s="283">
        <f>J100</f>
        <v>540990.5</v>
      </c>
      <c r="K99" s="437">
        <f t="shared" si="3"/>
        <v>100</v>
      </c>
    </row>
    <row r="100" spans="1:11" ht="28.5" customHeight="1">
      <c r="A100" s="75" t="s">
        <v>105</v>
      </c>
      <c r="B100" s="181" t="s">
        <v>63</v>
      </c>
      <c r="C100" s="284" t="s">
        <v>15</v>
      </c>
      <c r="D100" s="285" t="s">
        <v>16</v>
      </c>
      <c r="E100" s="286" t="s">
        <v>4</v>
      </c>
      <c r="F100" s="285" t="s">
        <v>234</v>
      </c>
      <c r="G100" s="285" t="s">
        <v>33</v>
      </c>
      <c r="H100" s="287" t="s">
        <v>107</v>
      </c>
      <c r="I100" s="288">
        <f>540990.5</f>
        <v>540990.5</v>
      </c>
      <c r="J100" s="288">
        <f>540990.5</f>
        <v>540990.5</v>
      </c>
      <c r="K100" s="437">
        <f t="shared" si="3"/>
        <v>100</v>
      </c>
    </row>
    <row r="101" spans="1:11" ht="18" customHeight="1">
      <c r="A101" s="223" t="s">
        <v>214</v>
      </c>
      <c r="B101" s="181" t="s">
        <v>63</v>
      </c>
      <c r="C101" s="226" t="s">
        <v>15</v>
      </c>
      <c r="D101" s="227" t="s">
        <v>16</v>
      </c>
      <c r="E101" s="196" t="s">
        <v>151</v>
      </c>
      <c r="F101" s="227" t="s">
        <v>11</v>
      </c>
      <c r="G101" s="227" t="s">
        <v>33</v>
      </c>
      <c r="H101" s="205"/>
      <c r="I101" s="198">
        <f>SUM(I102:I104)</f>
        <v>6322334</v>
      </c>
      <c r="J101" s="198">
        <f>SUM(J102:J104)</f>
        <v>6107268.5</v>
      </c>
      <c r="K101" s="437">
        <f t="shared" si="3"/>
        <v>96.59832112634354</v>
      </c>
    </row>
    <row r="102" spans="1:11" ht="17.25" customHeight="1">
      <c r="A102" s="75" t="s">
        <v>527</v>
      </c>
      <c r="B102" s="181" t="s">
        <v>63</v>
      </c>
      <c r="C102" s="228" t="s">
        <v>15</v>
      </c>
      <c r="D102" s="229" t="s">
        <v>16</v>
      </c>
      <c r="E102" s="200" t="s">
        <v>151</v>
      </c>
      <c r="F102" s="229" t="s">
        <v>11</v>
      </c>
      <c r="G102" s="229" t="s">
        <v>33</v>
      </c>
      <c r="H102" s="206" t="s">
        <v>107</v>
      </c>
      <c r="I102" s="202">
        <f>4672000-I104</f>
        <v>3844800</v>
      </c>
      <c r="J102" s="202">
        <v>3786927.5</v>
      </c>
      <c r="K102" s="437">
        <f t="shared" si="3"/>
        <v>98.49478516437786</v>
      </c>
    </row>
    <row r="103" spans="1:11" ht="18" customHeight="1">
      <c r="A103" s="75" t="s">
        <v>215</v>
      </c>
      <c r="B103" s="181" t="s">
        <v>63</v>
      </c>
      <c r="C103" s="228" t="s">
        <v>15</v>
      </c>
      <c r="D103" s="229" t="s">
        <v>16</v>
      </c>
      <c r="E103" s="200" t="s">
        <v>151</v>
      </c>
      <c r="F103" s="229" t="s">
        <v>11</v>
      </c>
      <c r="G103" s="229" t="s">
        <v>33</v>
      </c>
      <c r="H103" s="206" t="s">
        <v>107</v>
      </c>
      <c r="I103" s="202">
        <f>3104900-1454566</f>
        <v>1650334</v>
      </c>
      <c r="J103" s="202">
        <f>3104900-1454566</f>
        <v>1650334</v>
      </c>
      <c r="K103" s="437">
        <f t="shared" si="3"/>
        <v>100</v>
      </c>
    </row>
    <row r="104" spans="1:11" ht="48" customHeight="1">
      <c r="A104" s="72" t="s">
        <v>79</v>
      </c>
      <c r="B104" s="181" t="s">
        <v>63</v>
      </c>
      <c r="C104" s="228" t="s">
        <v>15</v>
      </c>
      <c r="D104" s="229" t="s">
        <v>16</v>
      </c>
      <c r="E104" s="200" t="s">
        <v>151</v>
      </c>
      <c r="F104" s="229" t="s">
        <v>11</v>
      </c>
      <c r="G104" s="229" t="s">
        <v>33</v>
      </c>
      <c r="H104" s="206" t="s">
        <v>87</v>
      </c>
      <c r="I104" s="202">
        <v>827200</v>
      </c>
      <c r="J104" s="202">
        <v>670007</v>
      </c>
      <c r="K104" s="437">
        <f t="shared" si="3"/>
        <v>80.99697775628627</v>
      </c>
    </row>
    <row r="105" spans="1:11" ht="18" customHeight="1">
      <c r="A105" s="223" t="s">
        <v>194</v>
      </c>
      <c r="B105" s="181" t="s">
        <v>63</v>
      </c>
      <c r="C105" s="226" t="s">
        <v>15</v>
      </c>
      <c r="D105" s="227" t="s">
        <v>16</v>
      </c>
      <c r="E105" s="196" t="s">
        <v>151</v>
      </c>
      <c r="F105" s="227" t="s">
        <v>11</v>
      </c>
      <c r="G105" s="227" t="s">
        <v>8</v>
      </c>
      <c r="H105" s="205"/>
      <c r="I105" s="198">
        <f>I106</f>
        <v>159025.4</v>
      </c>
      <c r="J105" s="198">
        <f>J106</f>
        <v>153058.78</v>
      </c>
      <c r="K105" s="437">
        <f t="shared" si="3"/>
        <v>96.24800817982536</v>
      </c>
    </row>
    <row r="106" spans="1:11" ht="24" customHeight="1">
      <c r="A106" s="72" t="s">
        <v>79</v>
      </c>
      <c r="B106" s="181" t="s">
        <v>63</v>
      </c>
      <c r="C106" s="228" t="s">
        <v>15</v>
      </c>
      <c r="D106" s="229" t="s">
        <v>16</v>
      </c>
      <c r="E106" s="200" t="s">
        <v>151</v>
      </c>
      <c r="F106" s="229" t="s">
        <v>11</v>
      </c>
      <c r="G106" s="229" t="s">
        <v>8</v>
      </c>
      <c r="H106" s="206" t="s">
        <v>87</v>
      </c>
      <c r="I106" s="202">
        <v>159025.4</v>
      </c>
      <c r="J106" s="202">
        <v>153058.78</v>
      </c>
      <c r="K106" s="437">
        <f t="shared" si="3"/>
        <v>96.24800817982536</v>
      </c>
    </row>
    <row r="107" spans="1:11" ht="15.75" customHeight="1">
      <c r="A107" s="39" t="s">
        <v>595</v>
      </c>
      <c r="B107" s="181" t="s">
        <v>63</v>
      </c>
      <c r="C107" s="60" t="s">
        <v>15</v>
      </c>
      <c r="D107" s="6" t="s">
        <v>18</v>
      </c>
      <c r="E107" s="6"/>
      <c r="F107" s="6"/>
      <c r="G107" s="6"/>
      <c r="H107" s="131"/>
      <c r="I107" s="28">
        <f>I108+I110</f>
        <v>217026.97</v>
      </c>
      <c r="J107" s="28">
        <f>J108+J110</f>
        <v>206327.07</v>
      </c>
      <c r="K107" s="437">
        <f t="shared" si="3"/>
        <v>95.06978326242125</v>
      </c>
    </row>
    <row r="108" spans="1:11" ht="17.25" customHeight="1">
      <c r="A108" s="504" t="s">
        <v>524</v>
      </c>
      <c r="B108" s="181" t="s">
        <v>63</v>
      </c>
      <c r="C108" s="505" t="s">
        <v>15</v>
      </c>
      <c r="D108" s="506" t="s">
        <v>18</v>
      </c>
      <c r="E108" s="506" t="s">
        <v>78</v>
      </c>
      <c r="F108" s="506" t="s">
        <v>19</v>
      </c>
      <c r="G108" s="506" t="s">
        <v>10</v>
      </c>
      <c r="H108" s="507" t="s">
        <v>87</v>
      </c>
      <c r="I108" s="508">
        <f>I109</f>
        <v>20000</v>
      </c>
      <c r="J108" s="508">
        <f>J109</f>
        <v>9300.1</v>
      </c>
      <c r="K108" s="437">
        <f t="shared" si="3"/>
        <v>46.5005</v>
      </c>
    </row>
    <row r="109" spans="1:11" ht="16.5" customHeight="1">
      <c r="A109" s="509" t="s">
        <v>79</v>
      </c>
      <c r="B109" s="181" t="s">
        <v>63</v>
      </c>
      <c r="C109" s="510" t="s">
        <v>15</v>
      </c>
      <c r="D109" s="7" t="s">
        <v>18</v>
      </c>
      <c r="E109" s="7" t="s">
        <v>78</v>
      </c>
      <c r="F109" s="7" t="s">
        <v>19</v>
      </c>
      <c r="G109" s="7" t="s">
        <v>10</v>
      </c>
      <c r="H109" s="96" t="s">
        <v>87</v>
      </c>
      <c r="I109" s="25">
        <v>20000</v>
      </c>
      <c r="J109" s="25">
        <v>9300.1</v>
      </c>
      <c r="K109" s="437">
        <f t="shared" si="3"/>
        <v>46.5005</v>
      </c>
    </row>
    <row r="110" spans="1:11" ht="36.75" customHeight="1">
      <c r="A110" s="511" t="s">
        <v>596</v>
      </c>
      <c r="B110" s="450" t="s">
        <v>63</v>
      </c>
      <c r="C110" s="512" t="s">
        <v>15</v>
      </c>
      <c r="D110" s="13" t="s">
        <v>18</v>
      </c>
      <c r="E110" s="12" t="s">
        <v>597</v>
      </c>
      <c r="F110" s="12" t="s">
        <v>33</v>
      </c>
      <c r="G110" s="12" t="s">
        <v>33</v>
      </c>
      <c r="H110" s="13"/>
      <c r="I110" s="24">
        <f>I111</f>
        <v>197026.97</v>
      </c>
      <c r="J110" s="24">
        <f>J111</f>
        <v>197026.97</v>
      </c>
      <c r="K110" s="437">
        <f t="shared" si="3"/>
        <v>100</v>
      </c>
    </row>
    <row r="111" spans="1:11" ht="16.5" customHeight="1">
      <c r="A111" s="513" t="s">
        <v>596</v>
      </c>
      <c r="B111" s="181" t="s">
        <v>63</v>
      </c>
      <c r="C111" s="514" t="s">
        <v>15</v>
      </c>
      <c r="D111" s="44" t="s">
        <v>18</v>
      </c>
      <c r="E111" s="41" t="s">
        <v>597</v>
      </c>
      <c r="F111" s="44" t="s">
        <v>8</v>
      </c>
      <c r="G111" s="44" t="s">
        <v>0</v>
      </c>
      <c r="H111" s="98"/>
      <c r="I111" s="42">
        <f>I112</f>
        <v>197026.97</v>
      </c>
      <c r="J111" s="42">
        <f>J112</f>
        <v>197026.97</v>
      </c>
      <c r="K111" s="437">
        <f t="shared" si="3"/>
        <v>100</v>
      </c>
    </row>
    <row r="112" spans="1:11" ht="16.5" customHeight="1">
      <c r="A112" s="509" t="s">
        <v>79</v>
      </c>
      <c r="B112" s="181" t="s">
        <v>63</v>
      </c>
      <c r="C112" s="515" t="s">
        <v>15</v>
      </c>
      <c r="D112" s="8" t="s">
        <v>18</v>
      </c>
      <c r="E112" s="7" t="s">
        <v>597</v>
      </c>
      <c r="F112" s="7" t="s">
        <v>8</v>
      </c>
      <c r="G112" s="7" t="s">
        <v>33</v>
      </c>
      <c r="H112" s="8" t="s">
        <v>87</v>
      </c>
      <c r="I112" s="25">
        <v>197026.97</v>
      </c>
      <c r="J112" s="25">
        <v>197026.97</v>
      </c>
      <c r="K112" s="437"/>
    </row>
    <row r="113" spans="1:11" ht="16.5" customHeight="1">
      <c r="A113" s="39" t="s">
        <v>51</v>
      </c>
      <c r="B113" s="181" t="s">
        <v>63</v>
      </c>
      <c r="C113" s="60" t="s">
        <v>15</v>
      </c>
      <c r="D113" s="6" t="s">
        <v>15</v>
      </c>
      <c r="E113" s="6"/>
      <c r="F113" s="6"/>
      <c r="G113" s="6"/>
      <c r="H113" s="131"/>
      <c r="I113" s="28">
        <f aca="true" t="shared" si="4" ref="I113:J115">I114</f>
        <v>39000</v>
      </c>
      <c r="J113" s="28">
        <f t="shared" si="4"/>
        <v>39000</v>
      </c>
      <c r="K113" s="437"/>
    </row>
    <row r="114" spans="1:11" ht="16.5" customHeight="1">
      <c r="A114" s="80" t="s">
        <v>59</v>
      </c>
      <c r="B114" s="181" t="s">
        <v>63</v>
      </c>
      <c r="C114" s="61" t="s">
        <v>15</v>
      </c>
      <c r="D114" s="19" t="s">
        <v>15</v>
      </c>
      <c r="E114" s="19" t="s">
        <v>58</v>
      </c>
      <c r="F114" s="19" t="s">
        <v>33</v>
      </c>
      <c r="G114" s="19" t="s">
        <v>33</v>
      </c>
      <c r="H114" s="138"/>
      <c r="I114" s="24">
        <f t="shared" si="4"/>
        <v>39000</v>
      </c>
      <c r="J114" s="24">
        <f t="shared" si="4"/>
        <v>39000</v>
      </c>
      <c r="K114" s="437"/>
    </row>
    <row r="115" spans="1:11" ht="16.5" customHeight="1">
      <c r="A115" s="46" t="s">
        <v>120</v>
      </c>
      <c r="B115" s="181" t="s">
        <v>63</v>
      </c>
      <c r="C115" s="53" t="s">
        <v>15</v>
      </c>
      <c r="D115" s="41" t="s">
        <v>15</v>
      </c>
      <c r="E115" s="41" t="s">
        <v>58</v>
      </c>
      <c r="F115" s="41" t="s">
        <v>8</v>
      </c>
      <c r="G115" s="41" t="s">
        <v>33</v>
      </c>
      <c r="H115" s="98"/>
      <c r="I115" s="42">
        <f t="shared" si="4"/>
        <v>39000</v>
      </c>
      <c r="J115" s="42">
        <f t="shared" si="4"/>
        <v>39000</v>
      </c>
      <c r="K115" s="437"/>
    </row>
    <row r="116" spans="1:11" ht="16.5" customHeight="1">
      <c r="A116" s="72" t="s">
        <v>79</v>
      </c>
      <c r="B116" s="181" t="s">
        <v>63</v>
      </c>
      <c r="C116" s="57" t="s">
        <v>15</v>
      </c>
      <c r="D116" s="7" t="s">
        <v>15</v>
      </c>
      <c r="E116" s="7" t="s">
        <v>58</v>
      </c>
      <c r="F116" s="8" t="s">
        <v>8</v>
      </c>
      <c r="G116" s="8" t="s">
        <v>33</v>
      </c>
      <c r="H116" s="96" t="s">
        <v>87</v>
      </c>
      <c r="I116" s="25">
        <v>39000</v>
      </c>
      <c r="J116" s="25">
        <v>39000</v>
      </c>
      <c r="K116" s="437"/>
    </row>
    <row r="117" spans="1:11" ht="16.5" customHeight="1">
      <c r="A117" s="77" t="s">
        <v>35</v>
      </c>
      <c r="B117" s="182" t="s">
        <v>63</v>
      </c>
      <c r="C117" s="58" t="s">
        <v>10</v>
      </c>
      <c r="D117" s="16"/>
      <c r="E117" s="16"/>
      <c r="F117" s="16"/>
      <c r="G117" s="16"/>
      <c r="H117" s="140"/>
      <c r="I117" s="27">
        <f>I118+I145+I198+I210</f>
        <v>304263584.7900001</v>
      </c>
      <c r="J117" s="27">
        <f>J118+J145+J198+J210</f>
        <v>293888587.47</v>
      </c>
      <c r="K117" s="437"/>
    </row>
    <row r="118" spans="1:11" ht="18.75" customHeight="1">
      <c r="A118" s="39" t="s">
        <v>36</v>
      </c>
      <c r="B118" s="181" t="s">
        <v>63</v>
      </c>
      <c r="C118" s="59" t="s">
        <v>10</v>
      </c>
      <c r="D118" s="11" t="s">
        <v>8</v>
      </c>
      <c r="E118" s="10"/>
      <c r="F118" s="10"/>
      <c r="G118" s="10"/>
      <c r="H118" s="145"/>
      <c r="I118" s="28">
        <f>I119+I121+I123+I125+I130+I135+I137+I139+I142</f>
        <v>69540232.77000001</v>
      </c>
      <c r="J118" s="28">
        <f>J119+J121+J123+J125+J130+J135+J137+J139+J142</f>
        <v>65866765.84</v>
      </c>
      <c r="K118" s="437">
        <f t="shared" si="3"/>
        <v>94.71749405534811</v>
      </c>
    </row>
    <row r="119" spans="1:11" ht="12.75" customHeight="1">
      <c r="A119" s="71" t="s">
        <v>196</v>
      </c>
      <c r="B119" s="181" t="s">
        <v>63</v>
      </c>
      <c r="C119" s="230" t="s">
        <v>10</v>
      </c>
      <c r="D119" s="231" t="s">
        <v>8</v>
      </c>
      <c r="E119" s="231" t="s">
        <v>32</v>
      </c>
      <c r="F119" s="231" t="s">
        <v>8</v>
      </c>
      <c r="G119" s="231" t="s">
        <v>33</v>
      </c>
      <c r="H119" s="232"/>
      <c r="I119" s="233">
        <f>I120</f>
        <v>2160401.42</v>
      </c>
      <c r="J119" s="233">
        <f>J120</f>
        <v>2160401.42</v>
      </c>
      <c r="K119" s="437">
        <f t="shared" si="3"/>
        <v>100</v>
      </c>
    </row>
    <row r="120" spans="1:11" ht="15.75" customHeight="1">
      <c r="A120" s="204" t="s">
        <v>153</v>
      </c>
      <c r="B120" s="181" t="s">
        <v>63</v>
      </c>
      <c r="C120" s="199" t="s">
        <v>10</v>
      </c>
      <c r="D120" s="200" t="s">
        <v>8</v>
      </c>
      <c r="E120" s="200" t="s">
        <v>32</v>
      </c>
      <c r="F120" s="200" t="s">
        <v>8</v>
      </c>
      <c r="G120" s="200" t="s">
        <v>33</v>
      </c>
      <c r="H120" s="201" t="s">
        <v>31</v>
      </c>
      <c r="I120" s="202">
        <v>2160401.42</v>
      </c>
      <c r="J120" s="202">
        <v>2160401.42</v>
      </c>
      <c r="K120" s="437">
        <f t="shared" si="3"/>
        <v>100</v>
      </c>
    </row>
    <row r="121" spans="1:11" ht="20.25" customHeight="1">
      <c r="A121" s="46" t="s">
        <v>598</v>
      </c>
      <c r="B121" s="181" t="s">
        <v>63</v>
      </c>
      <c r="C121" s="53" t="s">
        <v>10</v>
      </c>
      <c r="D121" s="41" t="s">
        <v>8</v>
      </c>
      <c r="E121" s="41" t="s">
        <v>207</v>
      </c>
      <c r="F121" s="41" t="s">
        <v>599</v>
      </c>
      <c r="G121" s="41" t="s">
        <v>71</v>
      </c>
      <c r="H121" s="98"/>
      <c r="I121" s="42">
        <f>I122</f>
        <v>96200</v>
      </c>
      <c r="J121" s="42">
        <f>J122</f>
        <v>96200</v>
      </c>
      <c r="K121" s="437">
        <f t="shared" si="3"/>
        <v>100</v>
      </c>
    </row>
    <row r="122" spans="1:11" ht="27" customHeight="1">
      <c r="A122" s="15" t="s">
        <v>153</v>
      </c>
      <c r="B122" s="181" t="s">
        <v>63</v>
      </c>
      <c r="C122" s="52" t="s">
        <v>10</v>
      </c>
      <c r="D122" s="7" t="s">
        <v>8</v>
      </c>
      <c r="E122" s="7" t="s">
        <v>207</v>
      </c>
      <c r="F122" s="7" t="s">
        <v>599</v>
      </c>
      <c r="G122" s="7" t="s">
        <v>71</v>
      </c>
      <c r="H122" s="96" t="s">
        <v>31</v>
      </c>
      <c r="I122" s="30">
        <v>96200</v>
      </c>
      <c r="J122" s="30">
        <v>96200</v>
      </c>
      <c r="K122" s="437">
        <f t="shared" si="3"/>
        <v>100</v>
      </c>
    </row>
    <row r="123" spans="1:11" ht="16.5" customHeight="1">
      <c r="A123" s="46" t="s">
        <v>600</v>
      </c>
      <c r="B123" s="181" t="s">
        <v>63</v>
      </c>
      <c r="C123" s="53" t="s">
        <v>10</v>
      </c>
      <c r="D123" s="41" t="s">
        <v>8</v>
      </c>
      <c r="E123" s="41" t="s">
        <v>207</v>
      </c>
      <c r="F123" s="41" t="s">
        <v>599</v>
      </c>
      <c r="G123" s="41" t="s">
        <v>71</v>
      </c>
      <c r="H123" s="98"/>
      <c r="I123" s="42">
        <f>I124</f>
        <v>33800</v>
      </c>
      <c r="J123" s="42">
        <f>J124</f>
        <v>33800</v>
      </c>
      <c r="K123" s="437">
        <f t="shared" si="3"/>
        <v>100</v>
      </c>
    </row>
    <row r="124" spans="1:11" ht="19.5" customHeight="1">
      <c r="A124" s="15" t="s">
        <v>153</v>
      </c>
      <c r="B124" s="181" t="s">
        <v>63</v>
      </c>
      <c r="C124" s="52" t="s">
        <v>10</v>
      </c>
      <c r="D124" s="7" t="s">
        <v>8</v>
      </c>
      <c r="E124" s="7" t="s">
        <v>207</v>
      </c>
      <c r="F124" s="7" t="s">
        <v>599</v>
      </c>
      <c r="G124" s="7" t="s">
        <v>71</v>
      </c>
      <c r="H124" s="96" t="s">
        <v>31</v>
      </c>
      <c r="I124" s="30">
        <v>33800</v>
      </c>
      <c r="J124" s="30">
        <v>33800</v>
      </c>
      <c r="K124" s="437">
        <f t="shared" si="3"/>
        <v>100</v>
      </c>
    </row>
    <row r="125" spans="1:11" ht="15.75" customHeight="1">
      <c r="A125" s="38" t="s">
        <v>37</v>
      </c>
      <c r="B125" s="181" t="s">
        <v>63</v>
      </c>
      <c r="C125" s="56" t="s">
        <v>10</v>
      </c>
      <c r="D125" s="12" t="s">
        <v>8</v>
      </c>
      <c r="E125" s="12" t="s">
        <v>38</v>
      </c>
      <c r="F125" s="12" t="s">
        <v>33</v>
      </c>
      <c r="G125" s="12" t="s">
        <v>33</v>
      </c>
      <c r="H125" s="97"/>
      <c r="I125" s="24">
        <f>I126</f>
        <v>49635603.51</v>
      </c>
      <c r="J125" s="24">
        <f>J126</f>
        <v>48373326.46</v>
      </c>
      <c r="K125" s="437">
        <f t="shared" si="3"/>
        <v>97.45691205357122</v>
      </c>
    </row>
    <row r="126" spans="1:11" ht="18.75" customHeight="1">
      <c r="A126" s="46" t="s">
        <v>2</v>
      </c>
      <c r="B126" s="181" t="s">
        <v>63</v>
      </c>
      <c r="C126" s="62" t="s">
        <v>10</v>
      </c>
      <c r="D126" s="44" t="s">
        <v>8</v>
      </c>
      <c r="E126" s="41" t="s">
        <v>38</v>
      </c>
      <c r="F126" s="44" t="s">
        <v>71</v>
      </c>
      <c r="G126" s="44" t="s">
        <v>0</v>
      </c>
      <c r="H126" s="143"/>
      <c r="I126" s="42">
        <f>SUM(I127:I129)</f>
        <v>49635603.51</v>
      </c>
      <c r="J126" s="42">
        <f>SUM(J127:J129)</f>
        <v>48373326.46</v>
      </c>
      <c r="K126" s="437">
        <f t="shared" si="3"/>
        <v>97.45691205357122</v>
      </c>
    </row>
    <row r="127" spans="1:11" ht="16.5" customHeight="1">
      <c r="A127" s="15" t="s">
        <v>153</v>
      </c>
      <c r="B127" s="181" t="s">
        <v>63</v>
      </c>
      <c r="C127" s="63" t="s">
        <v>10</v>
      </c>
      <c r="D127" s="8" t="s">
        <v>8</v>
      </c>
      <c r="E127" s="7" t="s">
        <v>38</v>
      </c>
      <c r="F127" s="8" t="s">
        <v>71</v>
      </c>
      <c r="G127" s="8" t="s">
        <v>33</v>
      </c>
      <c r="H127" s="144" t="s">
        <v>31</v>
      </c>
      <c r="I127" s="25">
        <v>39123622.65</v>
      </c>
      <c r="J127" s="25">
        <f>39410812.24-J128</f>
        <v>38441812.24</v>
      </c>
      <c r="K127" s="437">
        <f t="shared" si="3"/>
        <v>98.2572922346699</v>
      </c>
    </row>
    <row r="128" spans="1:11" ht="24.75" customHeight="1">
      <c r="A128" s="78" t="s">
        <v>157</v>
      </c>
      <c r="B128" s="181" t="s">
        <v>63</v>
      </c>
      <c r="C128" s="63" t="s">
        <v>10</v>
      </c>
      <c r="D128" s="8" t="s">
        <v>8</v>
      </c>
      <c r="E128" s="7" t="s">
        <v>38</v>
      </c>
      <c r="F128" s="8" t="s">
        <v>71</v>
      </c>
      <c r="G128" s="8" t="s">
        <v>33</v>
      </c>
      <c r="H128" s="144" t="s">
        <v>158</v>
      </c>
      <c r="I128" s="25">
        <v>1315133.36</v>
      </c>
      <c r="J128" s="25">
        <v>969000</v>
      </c>
      <c r="K128" s="437">
        <f t="shared" si="3"/>
        <v>73.6807406360675</v>
      </c>
    </row>
    <row r="129" spans="1:11" ht="30" customHeight="1">
      <c r="A129" s="15" t="s">
        <v>154</v>
      </c>
      <c r="B129" s="181" t="s">
        <v>63</v>
      </c>
      <c r="C129" s="63" t="s">
        <v>10</v>
      </c>
      <c r="D129" s="8" t="s">
        <v>8</v>
      </c>
      <c r="E129" s="7" t="s">
        <v>38</v>
      </c>
      <c r="F129" s="8" t="s">
        <v>71</v>
      </c>
      <c r="G129" s="8" t="s">
        <v>8</v>
      </c>
      <c r="H129" s="144" t="s">
        <v>31</v>
      </c>
      <c r="I129" s="25">
        <v>9196847.5</v>
      </c>
      <c r="J129" s="25">
        <v>8962514.22</v>
      </c>
      <c r="K129" s="437">
        <f t="shared" si="3"/>
        <v>97.45202603392087</v>
      </c>
    </row>
    <row r="130" spans="1:12" ht="18" customHeight="1">
      <c r="A130" s="22" t="s">
        <v>69</v>
      </c>
      <c r="B130" s="181" t="s">
        <v>63</v>
      </c>
      <c r="C130" s="54" t="s">
        <v>10</v>
      </c>
      <c r="D130" s="23" t="s">
        <v>8</v>
      </c>
      <c r="E130" s="23" t="s">
        <v>54</v>
      </c>
      <c r="F130" s="23" t="s">
        <v>33</v>
      </c>
      <c r="G130" s="23" t="s">
        <v>33</v>
      </c>
      <c r="H130" s="146"/>
      <c r="I130" s="24">
        <f>I132+I133</f>
        <v>1298983.84</v>
      </c>
      <c r="J130" s="24">
        <f>J132+J133</f>
        <v>815453.9</v>
      </c>
      <c r="K130" s="437">
        <f t="shared" si="3"/>
        <v>62.77629289060286</v>
      </c>
      <c r="L130" s="474"/>
    </row>
    <row r="131" spans="1:11" ht="18.75" customHeight="1">
      <c r="A131" s="46" t="s">
        <v>156</v>
      </c>
      <c r="B131" s="181" t="s">
        <v>63</v>
      </c>
      <c r="C131" s="53" t="s">
        <v>10</v>
      </c>
      <c r="D131" s="41" t="s">
        <v>8</v>
      </c>
      <c r="E131" s="41" t="s">
        <v>54</v>
      </c>
      <c r="F131" s="41" t="s">
        <v>155</v>
      </c>
      <c r="G131" s="41" t="s">
        <v>8</v>
      </c>
      <c r="H131" s="98"/>
      <c r="I131" s="42">
        <f>I132</f>
        <v>507528.84</v>
      </c>
      <c r="J131" s="42">
        <f>J132</f>
        <v>345011.56</v>
      </c>
      <c r="K131" s="437">
        <f t="shared" si="3"/>
        <v>67.9787103329931</v>
      </c>
    </row>
    <row r="132" spans="1:11" ht="15.75" customHeight="1">
      <c r="A132" s="15" t="s">
        <v>153</v>
      </c>
      <c r="B132" s="181" t="s">
        <v>63</v>
      </c>
      <c r="C132" s="52" t="s">
        <v>10</v>
      </c>
      <c r="D132" s="7" t="s">
        <v>8</v>
      </c>
      <c r="E132" s="7" t="s">
        <v>54</v>
      </c>
      <c r="F132" s="7" t="s">
        <v>155</v>
      </c>
      <c r="G132" s="7" t="s">
        <v>8</v>
      </c>
      <c r="H132" s="96" t="s">
        <v>31</v>
      </c>
      <c r="I132" s="30">
        <v>507528.84</v>
      </c>
      <c r="J132" s="30">
        <v>345011.56</v>
      </c>
      <c r="K132" s="437">
        <f t="shared" si="3"/>
        <v>67.9787103329931</v>
      </c>
    </row>
    <row r="133" spans="1:11" ht="15.75" customHeight="1">
      <c r="A133" s="46" t="s">
        <v>86</v>
      </c>
      <c r="B133" s="181" t="s">
        <v>63</v>
      </c>
      <c r="C133" s="53" t="s">
        <v>10</v>
      </c>
      <c r="D133" s="41" t="s">
        <v>8</v>
      </c>
      <c r="E133" s="41" t="s">
        <v>54</v>
      </c>
      <c r="F133" s="41" t="s">
        <v>155</v>
      </c>
      <c r="G133" s="41" t="s">
        <v>16</v>
      </c>
      <c r="H133" s="98"/>
      <c r="I133" s="42">
        <f>I134</f>
        <v>791455</v>
      </c>
      <c r="J133" s="42">
        <f>J134</f>
        <v>470442.34</v>
      </c>
      <c r="K133" s="437">
        <f t="shared" si="3"/>
        <v>59.44018800816219</v>
      </c>
    </row>
    <row r="134" spans="1:11" ht="16.5" customHeight="1">
      <c r="A134" s="15" t="s">
        <v>153</v>
      </c>
      <c r="B134" s="181" t="s">
        <v>63</v>
      </c>
      <c r="C134" s="52" t="s">
        <v>10</v>
      </c>
      <c r="D134" s="7" t="s">
        <v>8</v>
      </c>
      <c r="E134" s="7" t="s">
        <v>54</v>
      </c>
      <c r="F134" s="7" t="s">
        <v>155</v>
      </c>
      <c r="G134" s="7" t="s">
        <v>16</v>
      </c>
      <c r="H134" s="96" t="s">
        <v>31</v>
      </c>
      <c r="I134" s="30">
        <v>791455</v>
      </c>
      <c r="J134" s="30">
        <v>470442.34</v>
      </c>
      <c r="K134" s="437">
        <f t="shared" si="3"/>
        <v>59.44018800816219</v>
      </c>
    </row>
    <row r="135" spans="1:11" ht="15" customHeight="1">
      <c r="A135" s="234" t="s">
        <v>202</v>
      </c>
      <c r="B135" s="181" t="s">
        <v>63</v>
      </c>
      <c r="C135" s="235" t="s">
        <v>10</v>
      </c>
      <c r="D135" s="236" t="s">
        <v>8</v>
      </c>
      <c r="E135" s="236" t="s">
        <v>151</v>
      </c>
      <c r="F135" s="236" t="s">
        <v>9</v>
      </c>
      <c r="G135" s="236" t="s">
        <v>33</v>
      </c>
      <c r="H135" s="201"/>
      <c r="I135" s="237">
        <f>I136</f>
        <v>2256000</v>
      </c>
      <c r="J135" s="237">
        <f>J136</f>
        <v>2032964.78</v>
      </c>
      <c r="K135" s="437">
        <f t="shared" si="3"/>
        <v>90.11368705673759</v>
      </c>
    </row>
    <row r="136" spans="1:11" ht="17.25" customHeight="1">
      <c r="A136" s="204" t="s">
        <v>153</v>
      </c>
      <c r="B136" s="181" t="s">
        <v>63</v>
      </c>
      <c r="C136" s="199" t="s">
        <v>10</v>
      </c>
      <c r="D136" s="200" t="s">
        <v>8</v>
      </c>
      <c r="E136" s="200" t="s">
        <v>151</v>
      </c>
      <c r="F136" s="200" t="s">
        <v>9</v>
      </c>
      <c r="G136" s="200" t="s">
        <v>33</v>
      </c>
      <c r="H136" s="201" t="s">
        <v>31</v>
      </c>
      <c r="I136" s="25">
        <v>2256000</v>
      </c>
      <c r="J136" s="25">
        <v>2032964.78</v>
      </c>
      <c r="K136" s="437">
        <f t="shared" si="3"/>
        <v>90.11368705673759</v>
      </c>
    </row>
    <row r="137" spans="1:11" ht="16.5" customHeight="1">
      <c r="A137" s="234" t="s">
        <v>225</v>
      </c>
      <c r="B137" s="181" t="s">
        <v>63</v>
      </c>
      <c r="C137" s="235" t="s">
        <v>10</v>
      </c>
      <c r="D137" s="236" t="s">
        <v>8</v>
      </c>
      <c r="E137" s="236" t="s">
        <v>151</v>
      </c>
      <c r="F137" s="236" t="s">
        <v>9</v>
      </c>
      <c r="G137" s="236" t="s">
        <v>8</v>
      </c>
      <c r="H137" s="201"/>
      <c r="I137" s="267">
        <f>I138</f>
        <v>80444</v>
      </c>
      <c r="J137" s="267">
        <f>J138</f>
        <v>62244.19</v>
      </c>
      <c r="K137" s="437">
        <f t="shared" si="3"/>
        <v>77.37580180000995</v>
      </c>
    </row>
    <row r="138" spans="1:11" ht="18" customHeight="1">
      <c r="A138" s="204" t="s">
        <v>153</v>
      </c>
      <c r="B138" s="181" t="s">
        <v>63</v>
      </c>
      <c r="C138" s="199" t="s">
        <v>10</v>
      </c>
      <c r="D138" s="200" t="s">
        <v>8</v>
      </c>
      <c r="E138" s="200" t="s">
        <v>151</v>
      </c>
      <c r="F138" s="200" t="s">
        <v>9</v>
      </c>
      <c r="G138" s="200" t="s">
        <v>8</v>
      </c>
      <c r="H138" s="201" t="s">
        <v>31</v>
      </c>
      <c r="I138" s="221">
        <v>80444</v>
      </c>
      <c r="J138" s="221">
        <v>62244.19</v>
      </c>
      <c r="K138" s="437">
        <f t="shared" si="3"/>
        <v>77.37580180000995</v>
      </c>
    </row>
    <row r="139" spans="1:11" ht="32.25" customHeight="1">
      <c r="A139" s="188" t="s">
        <v>195</v>
      </c>
      <c r="B139" s="181" t="s">
        <v>63</v>
      </c>
      <c r="C139" s="90" t="s">
        <v>10</v>
      </c>
      <c r="D139" s="41" t="s">
        <v>8</v>
      </c>
      <c r="E139" s="41" t="s">
        <v>151</v>
      </c>
      <c r="F139" s="41" t="s">
        <v>103</v>
      </c>
      <c r="G139" s="41" t="s">
        <v>33</v>
      </c>
      <c r="H139" s="98"/>
      <c r="I139" s="42">
        <f>I141+I140</f>
        <v>12581000</v>
      </c>
      <c r="J139" s="42">
        <f>J141+J140</f>
        <v>10917288.98</v>
      </c>
      <c r="K139" s="437">
        <f t="shared" si="3"/>
        <v>86.77600333836737</v>
      </c>
    </row>
    <row r="140" spans="1:11" ht="18" customHeight="1">
      <c r="A140" s="15" t="s">
        <v>153</v>
      </c>
      <c r="B140" s="181" t="s">
        <v>63</v>
      </c>
      <c r="C140" s="91" t="s">
        <v>10</v>
      </c>
      <c r="D140" s="7" t="s">
        <v>8</v>
      </c>
      <c r="E140" s="7" t="s">
        <v>151</v>
      </c>
      <c r="F140" s="7" t="s">
        <v>103</v>
      </c>
      <c r="G140" s="7" t="s">
        <v>33</v>
      </c>
      <c r="H140" s="96" t="s">
        <v>31</v>
      </c>
      <c r="I140" s="25">
        <v>12160000</v>
      </c>
      <c r="J140" s="25">
        <f>10917288.98-J141</f>
        <v>10496288.98</v>
      </c>
      <c r="K140" s="437">
        <f t="shared" si="3"/>
        <v>86.31816595394737</v>
      </c>
    </row>
    <row r="141" spans="1:11" ht="33" customHeight="1">
      <c r="A141" s="15" t="s">
        <v>186</v>
      </c>
      <c r="B141" s="181" t="s">
        <v>63</v>
      </c>
      <c r="C141" s="91" t="s">
        <v>10</v>
      </c>
      <c r="D141" s="7" t="s">
        <v>8</v>
      </c>
      <c r="E141" s="7" t="s">
        <v>151</v>
      </c>
      <c r="F141" s="7" t="s">
        <v>103</v>
      </c>
      <c r="G141" s="7" t="s">
        <v>33</v>
      </c>
      <c r="H141" s="96" t="s">
        <v>185</v>
      </c>
      <c r="I141" s="25">
        <v>421000</v>
      </c>
      <c r="J141" s="25">
        <v>421000</v>
      </c>
      <c r="K141" s="437">
        <f t="shared" si="3"/>
        <v>100</v>
      </c>
    </row>
    <row r="142" spans="1:11" ht="16.5" customHeight="1">
      <c r="A142" s="188" t="s">
        <v>224</v>
      </c>
      <c r="B142" s="181" t="s">
        <v>63</v>
      </c>
      <c r="C142" s="90" t="s">
        <v>10</v>
      </c>
      <c r="D142" s="41" t="s">
        <v>8</v>
      </c>
      <c r="E142" s="41" t="s">
        <v>151</v>
      </c>
      <c r="F142" s="41" t="s">
        <v>103</v>
      </c>
      <c r="G142" s="41" t="s">
        <v>8</v>
      </c>
      <c r="H142" s="98"/>
      <c r="I142" s="42">
        <f>I144+I143</f>
        <v>1397800</v>
      </c>
      <c r="J142" s="42">
        <f>J144+J143</f>
        <v>1375086.11</v>
      </c>
      <c r="K142" s="437">
        <f t="shared" si="3"/>
        <v>98.37502575475749</v>
      </c>
    </row>
    <row r="143" spans="1:11" ht="39" customHeight="1">
      <c r="A143" s="15" t="s">
        <v>153</v>
      </c>
      <c r="B143" s="181" t="s">
        <v>63</v>
      </c>
      <c r="C143" s="91" t="s">
        <v>10</v>
      </c>
      <c r="D143" s="7" t="s">
        <v>8</v>
      </c>
      <c r="E143" s="7" t="s">
        <v>151</v>
      </c>
      <c r="F143" s="7" t="s">
        <v>103</v>
      </c>
      <c r="G143" s="7" t="s">
        <v>8</v>
      </c>
      <c r="H143" s="96" t="s">
        <v>31</v>
      </c>
      <c r="I143" s="25">
        <v>1364700</v>
      </c>
      <c r="J143" s="25">
        <f>1375086.11-J144</f>
        <v>1341986.11</v>
      </c>
      <c r="K143" s="437">
        <f t="shared" si="3"/>
        <v>98.33561295522826</v>
      </c>
    </row>
    <row r="144" spans="1:11" ht="15.75" customHeight="1">
      <c r="A144" s="15" t="s">
        <v>186</v>
      </c>
      <c r="B144" s="181" t="s">
        <v>63</v>
      </c>
      <c r="C144" s="91" t="s">
        <v>10</v>
      </c>
      <c r="D144" s="7" t="s">
        <v>8</v>
      </c>
      <c r="E144" s="7" t="s">
        <v>151</v>
      </c>
      <c r="F144" s="7" t="s">
        <v>103</v>
      </c>
      <c r="G144" s="7" t="s">
        <v>8</v>
      </c>
      <c r="H144" s="96" t="s">
        <v>185</v>
      </c>
      <c r="I144" s="25">
        <v>33100</v>
      </c>
      <c r="J144" s="25">
        <v>33100</v>
      </c>
      <c r="K144" s="437">
        <f t="shared" si="3"/>
        <v>100</v>
      </c>
    </row>
    <row r="145" spans="1:11" ht="19.5" customHeight="1">
      <c r="A145" s="39" t="s">
        <v>39</v>
      </c>
      <c r="B145" s="181" t="s">
        <v>63</v>
      </c>
      <c r="C145" s="60" t="s">
        <v>10</v>
      </c>
      <c r="D145" s="9" t="s">
        <v>16</v>
      </c>
      <c r="E145" s="6"/>
      <c r="F145" s="6"/>
      <c r="G145" s="6"/>
      <c r="H145" s="141"/>
      <c r="I145" s="28">
        <f>I146+I148+I151+I153+I154+I159+I162+I171+I178+I184+I189+I191+I193+I195+I165+I168</f>
        <v>218048007.42000002</v>
      </c>
      <c r="J145" s="28">
        <f>J146+J148+J151+J153+J154+J159+J162+J171+J178+J184+J189+J191+J193+J195+J165+J168</f>
        <v>211580547.83</v>
      </c>
      <c r="K145" s="437">
        <f t="shared" si="3"/>
        <v>97.03392859832812</v>
      </c>
    </row>
    <row r="146" spans="1:11" ht="50.25" customHeight="1">
      <c r="A146" s="46" t="s">
        <v>100</v>
      </c>
      <c r="B146" s="181" t="s">
        <v>63</v>
      </c>
      <c r="C146" s="62" t="s">
        <v>10</v>
      </c>
      <c r="D146" s="44" t="s">
        <v>16</v>
      </c>
      <c r="E146" s="41" t="s">
        <v>152</v>
      </c>
      <c r="F146" s="41" t="s">
        <v>8</v>
      </c>
      <c r="G146" s="41" t="s">
        <v>33</v>
      </c>
      <c r="H146" s="143"/>
      <c r="I146" s="42">
        <f>I147</f>
        <v>12900000</v>
      </c>
      <c r="J146" s="42">
        <f>J147</f>
        <v>12766032.91</v>
      </c>
      <c r="K146" s="437">
        <f t="shared" si="3"/>
        <v>98.96149542635659</v>
      </c>
    </row>
    <row r="147" spans="1:11" ht="18" customHeight="1">
      <c r="A147" s="15" t="s">
        <v>153</v>
      </c>
      <c r="B147" s="181" t="s">
        <v>63</v>
      </c>
      <c r="C147" s="63" t="s">
        <v>10</v>
      </c>
      <c r="D147" s="8" t="s">
        <v>16</v>
      </c>
      <c r="E147" s="7" t="s">
        <v>152</v>
      </c>
      <c r="F147" s="7" t="s">
        <v>8</v>
      </c>
      <c r="G147" s="7" t="s">
        <v>33</v>
      </c>
      <c r="H147" s="144" t="s">
        <v>31</v>
      </c>
      <c r="I147" s="25">
        <v>12900000</v>
      </c>
      <c r="J147" s="25">
        <v>12766032.91</v>
      </c>
      <c r="K147" s="437">
        <f t="shared" si="3"/>
        <v>98.96149542635659</v>
      </c>
    </row>
    <row r="148" spans="1:11" ht="18" customHeight="1">
      <c r="A148" s="71" t="s">
        <v>196</v>
      </c>
      <c r="B148" s="181" t="s">
        <v>63</v>
      </c>
      <c r="C148" s="230" t="s">
        <v>10</v>
      </c>
      <c r="D148" s="231" t="s">
        <v>16</v>
      </c>
      <c r="E148" s="231" t="s">
        <v>32</v>
      </c>
      <c r="F148" s="231" t="s">
        <v>8</v>
      </c>
      <c r="G148" s="231" t="s">
        <v>33</v>
      </c>
      <c r="H148" s="232"/>
      <c r="I148" s="233">
        <f>I149</f>
        <v>4535598.58</v>
      </c>
      <c r="J148" s="233">
        <f>J149</f>
        <v>4535598.58</v>
      </c>
      <c r="K148" s="437">
        <f t="shared" si="3"/>
        <v>100</v>
      </c>
    </row>
    <row r="149" spans="1:11" ht="18" customHeight="1">
      <c r="A149" s="204" t="s">
        <v>153</v>
      </c>
      <c r="B149" s="181" t="s">
        <v>63</v>
      </c>
      <c r="C149" s="199" t="s">
        <v>10</v>
      </c>
      <c r="D149" s="200" t="s">
        <v>16</v>
      </c>
      <c r="E149" s="200" t="s">
        <v>32</v>
      </c>
      <c r="F149" s="200" t="s">
        <v>8</v>
      </c>
      <c r="G149" s="200" t="s">
        <v>33</v>
      </c>
      <c r="H149" s="201" t="s">
        <v>31</v>
      </c>
      <c r="I149" s="202">
        <v>4535598.58</v>
      </c>
      <c r="J149" s="202">
        <v>4535598.58</v>
      </c>
      <c r="K149" s="437">
        <f t="shared" si="3"/>
        <v>100</v>
      </c>
    </row>
    <row r="150" spans="1:11" ht="56.25" customHeight="1">
      <c r="A150" s="46" t="s">
        <v>557</v>
      </c>
      <c r="B150" s="181" t="s">
        <v>63</v>
      </c>
      <c r="C150" s="62" t="s">
        <v>10</v>
      </c>
      <c r="D150" s="44" t="s">
        <v>16</v>
      </c>
      <c r="E150" s="41" t="s">
        <v>207</v>
      </c>
      <c r="F150" s="41" t="s">
        <v>385</v>
      </c>
      <c r="G150" s="41" t="s">
        <v>71</v>
      </c>
      <c r="H150" s="143"/>
      <c r="I150" s="42">
        <f>I151</f>
        <v>1085280</v>
      </c>
      <c r="J150" s="42">
        <f>J151</f>
        <v>97163</v>
      </c>
      <c r="K150" s="437">
        <f t="shared" si="3"/>
        <v>8.95280480613298</v>
      </c>
    </row>
    <row r="151" spans="1:11" ht="15.75" customHeight="1">
      <c r="A151" s="15" t="s">
        <v>186</v>
      </c>
      <c r="B151" s="181" t="s">
        <v>63</v>
      </c>
      <c r="C151" s="63" t="s">
        <v>10</v>
      </c>
      <c r="D151" s="8" t="s">
        <v>16</v>
      </c>
      <c r="E151" s="7" t="s">
        <v>207</v>
      </c>
      <c r="F151" s="7" t="s">
        <v>385</v>
      </c>
      <c r="G151" s="7" t="s">
        <v>71</v>
      </c>
      <c r="H151" s="144" t="s">
        <v>185</v>
      </c>
      <c r="I151" s="25">
        <v>1085280</v>
      </c>
      <c r="J151" s="25">
        <v>97163</v>
      </c>
      <c r="K151" s="437">
        <f t="shared" si="3"/>
        <v>8.95280480613298</v>
      </c>
    </row>
    <row r="152" spans="1:11" ht="25.5">
      <c r="A152" s="46" t="s">
        <v>558</v>
      </c>
      <c r="B152" s="181" t="s">
        <v>63</v>
      </c>
      <c r="C152" s="62" t="s">
        <v>10</v>
      </c>
      <c r="D152" s="44" t="s">
        <v>16</v>
      </c>
      <c r="E152" s="41" t="s">
        <v>207</v>
      </c>
      <c r="F152" s="41" t="s">
        <v>385</v>
      </c>
      <c r="G152" s="41" t="s">
        <v>71</v>
      </c>
      <c r="H152" s="143"/>
      <c r="I152" s="42">
        <f>I153</f>
        <v>1085280</v>
      </c>
      <c r="J152" s="42">
        <f>J153</f>
        <v>0</v>
      </c>
      <c r="K152" s="437">
        <f t="shared" si="3"/>
        <v>0</v>
      </c>
    </row>
    <row r="153" spans="1:11" ht="18.75">
      <c r="A153" s="15" t="s">
        <v>186</v>
      </c>
      <c r="B153" s="181" t="s">
        <v>63</v>
      </c>
      <c r="C153" s="63" t="s">
        <v>10</v>
      </c>
      <c r="D153" s="8" t="s">
        <v>16</v>
      </c>
      <c r="E153" s="7" t="s">
        <v>207</v>
      </c>
      <c r="F153" s="7" t="s">
        <v>385</v>
      </c>
      <c r="G153" s="7" t="s">
        <v>71</v>
      </c>
      <c r="H153" s="144" t="s">
        <v>185</v>
      </c>
      <c r="I153" s="25">
        <v>1085280</v>
      </c>
      <c r="J153" s="25"/>
      <c r="K153" s="437">
        <f t="shared" si="3"/>
        <v>0</v>
      </c>
    </row>
    <row r="154" spans="1:11" ht="30" customHeight="1">
      <c r="A154" s="38" t="s">
        <v>40</v>
      </c>
      <c r="B154" s="181" t="s">
        <v>63</v>
      </c>
      <c r="C154" s="64" t="s">
        <v>10</v>
      </c>
      <c r="D154" s="13" t="s">
        <v>16</v>
      </c>
      <c r="E154" s="12" t="s">
        <v>41</v>
      </c>
      <c r="F154" s="13" t="s">
        <v>0</v>
      </c>
      <c r="G154" s="13" t="s">
        <v>0</v>
      </c>
      <c r="H154" s="142"/>
      <c r="I154" s="24">
        <f>I155</f>
        <v>21719412.490000002</v>
      </c>
      <c r="J154" s="24">
        <f>J155</f>
        <v>20339983.580000002</v>
      </c>
      <c r="K154" s="437">
        <f t="shared" si="3"/>
        <v>93.64886637410144</v>
      </c>
    </row>
    <row r="155" spans="1:11" ht="18.75">
      <c r="A155" s="46" t="s">
        <v>2</v>
      </c>
      <c r="B155" s="181" t="s">
        <v>63</v>
      </c>
      <c r="C155" s="62" t="s">
        <v>10</v>
      </c>
      <c r="D155" s="44" t="s">
        <v>16</v>
      </c>
      <c r="E155" s="41" t="s">
        <v>41</v>
      </c>
      <c r="F155" s="44" t="s">
        <v>71</v>
      </c>
      <c r="G155" s="44" t="s">
        <v>0</v>
      </c>
      <c r="H155" s="143"/>
      <c r="I155" s="42">
        <f>SUM(I156:I158)</f>
        <v>21719412.490000002</v>
      </c>
      <c r="J155" s="42">
        <f>SUM(J156:J158)</f>
        <v>20339983.580000002</v>
      </c>
      <c r="K155" s="437">
        <f t="shared" si="3"/>
        <v>93.64886637410144</v>
      </c>
    </row>
    <row r="156" spans="1:11" ht="18.75">
      <c r="A156" s="15" t="s">
        <v>153</v>
      </c>
      <c r="B156" s="181" t="s">
        <v>63</v>
      </c>
      <c r="C156" s="63" t="s">
        <v>10</v>
      </c>
      <c r="D156" s="8" t="s">
        <v>16</v>
      </c>
      <c r="E156" s="7" t="s">
        <v>41</v>
      </c>
      <c r="F156" s="8" t="s">
        <v>71</v>
      </c>
      <c r="G156" s="8" t="s">
        <v>33</v>
      </c>
      <c r="H156" s="144" t="s">
        <v>31</v>
      </c>
      <c r="I156" s="25">
        <v>8847195.49</v>
      </c>
      <c r="J156" s="25">
        <f>18053026.96-J157</f>
        <v>8518283.08</v>
      </c>
      <c r="K156" s="437">
        <f>J156/I156*100</f>
        <v>96.28229747639497</v>
      </c>
    </row>
    <row r="157" spans="1:11" ht="25.5">
      <c r="A157" s="78" t="s">
        <v>157</v>
      </c>
      <c r="B157" s="181" t="s">
        <v>63</v>
      </c>
      <c r="C157" s="63" t="s">
        <v>10</v>
      </c>
      <c r="D157" s="8" t="s">
        <v>16</v>
      </c>
      <c r="E157" s="7" t="s">
        <v>41</v>
      </c>
      <c r="F157" s="8" t="s">
        <v>71</v>
      </c>
      <c r="G157" s="8" t="s">
        <v>33</v>
      </c>
      <c r="H157" s="144" t="s">
        <v>158</v>
      </c>
      <c r="I157" s="25">
        <v>10409000</v>
      </c>
      <c r="J157" s="25">
        <v>9534743.88</v>
      </c>
      <c r="K157" s="437">
        <f>J157/I157*100</f>
        <v>91.60095955423192</v>
      </c>
    </row>
    <row r="158" spans="1:11" ht="18.75" customHeight="1">
      <c r="A158" s="15" t="s">
        <v>154</v>
      </c>
      <c r="B158" s="181" t="s">
        <v>63</v>
      </c>
      <c r="C158" s="63" t="s">
        <v>10</v>
      </c>
      <c r="D158" s="8" t="s">
        <v>16</v>
      </c>
      <c r="E158" s="7" t="s">
        <v>41</v>
      </c>
      <c r="F158" s="8" t="s">
        <v>71</v>
      </c>
      <c r="G158" s="8" t="s">
        <v>8</v>
      </c>
      <c r="H158" s="144" t="s">
        <v>31</v>
      </c>
      <c r="I158" s="25">
        <v>2463217</v>
      </c>
      <c r="J158" s="25">
        <v>2286956.62</v>
      </c>
      <c r="K158" s="437">
        <f t="shared" si="3"/>
        <v>92.84430157797709</v>
      </c>
    </row>
    <row r="159" spans="1:11" ht="18" customHeight="1">
      <c r="A159" s="38" t="s">
        <v>42</v>
      </c>
      <c r="B159" s="181" t="s">
        <v>63</v>
      </c>
      <c r="C159" s="64" t="s">
        <v>10</v>
      </c>
      <c r="D159" s="13" t="s">
        <v>16</v>
      </c>
      <c r="E159" s="12" t="s">
        <v>43</v>
      </c>
      <c r="F159" s="12" t="s">
        <v>33</v>
      </c>
      <c r="G159" s="12" t="s">
        <v>33</v>
      </c>
      <c r="H159" s="142"/>
      <c r="I159" s="24">
        <f>I160</f>
        <v>18642000</v>
      </c>
      <c r="J159" s="24">
        <f>J160</f>
        <v>18571000</v>
      </c>
      <c r="K159" s="437">
        <f aca="true" t="shared" si="5" ref="K159:K224">J159/I159*100</f>
        <v>99.61913957729858</v>
      </c>
    </row>
    <row r="160" spans="1:11" ht="16.5" customHeight="1">
      <c r="A160" s="46" t="s">
        <v>2</v>
      </c>
      <c r="B160" s="181" t="s">
        <v>63</v>
      </c>
      <c r="C160" s="62" t="s">
        <v>10</v>
      </c>
      <c r="D160" s="44" t="s">
        <v>16</v>
      </c>
      <c r="E160" s="41" t="s">
        <v>43</v>
      </c>
      <c r="F160" s="41" t="s">
        <v>71</v>
      </c>
      <c r="G160" s="41" t="s">
        <v>33</v>
      </c>
      <c r="H160" s="143"/>
      <c r="I160" s="42">
        <f>I161</f>
        <v>18642000</v>
      </c>
      <c r="J160" s="42">
        <f>J161</f>
        <v>18571000</v>
      </c>
      <c r="K160" s="437">
        <f t="shared" si="5"/>
        <v>99.61913957729858</v>
      </c>
    </row>
    <row r="161" spans="1:11" ht="24.75" customHeight="1">
      <c r="A161" s="78" t="s">
        <v>157</v>
      </c>
      <c r="B161" s="181" t="s">
        <v>63</v>
      </c>
      <c r="C161" s="63" t="s">
        <v>10</v>
      </c>
      <c r="D161" s="8" t="s">
        <v>16</v>
      </c>
      <c r="E161" s="7" t="s">
        <v>43</v>
      </c>
      <c r="F161" s="7" t="s">
        <v>71</v>
      </c>
      <c r="G161" s="7" t="s">
        <v>33</v>
      </c>
      <c r="H161" s="144" t="s">
        <v>158</v>
      </c>
      <c r="I161" s="25">
        <f>19442000-800000</f>
        <v>18642000</v>
      </c>
      <c r="J161" s="25">
        <v>18571000</v>
      </c>
      <c r="K161" s="437">
        <f t="shared" si="5"/>
        <v>99.61913957729858</v>
      </c>
    </row>
    <row r="162" spans="1:11" ht="17.25" customHeight="1">
      <c r="A162" s="38" t="s">
        <v>44</v>
      </c>
      <c r="B162" s="181" t="s">
        <v>63</v>
      </c>
      <c r="C162" s="64" t="s">
        <v>10</v>
      </c>
      <c r="D162" s="13" t="s">
        <v>16</v>
      </c>
      <c r="E162" s="12" t="s">
        <v>45</v>
      </c>
      <c r="F162" s="12" t="s">
        <v>33</v>
      </c>
      <c r="G162" s="12" t="s">
        <v>33</v>
      </c>
      <c r="H162" s="142"/>
      <c r="I162" s="24">
        <f>I164</f>
        <v>100000</v>
      </c>
      <c r="J162" s="24">
        <f>J164</f>
        <v>61297.48</v>
      </c>
      <c r="K162" s="437">
        <f t="shared" si="5"/>
        <v>61.29748000000001</v>
      </c>
    </row>
    <row r="163" spans="1:11" ht="18" customHeight="1">
      <c r="A163" s="46" t="s">
        <v>2</v>
      </c>
      <c r="B163" s="181" t="s">
        <v>63</v>
      </c>
      <c r="C163" s="62" t="s">
        <v>10</v>
      </c>
      <c r="D163" s="44" t="s">
        <v>16</v>
      </c>
      <c r="E163" s="41" t="s">
        <v>45</v>
      </c>
      <c r="F163" s="41" t="s">
        <v>71</v>
      </c>
      <c r="G163" s="41" t="s">
        <v>33</v>
      </c>
      <c r="H163" s="143"/>
      <c r="I163" s="42">
        <f>I164</f>
        <v>100000</v>
      </c>
      <c r="J163" s="42">
        <f>J164</f>
        <v>61297.48</v>
      </c>
      <c r="K163" s="437">
        <f t="shared" si="5"/>
        <v>61.29748000000001</v>
      </c>
    </row>
    <row r="164" spans="1:11" ht="19.5" customHeight="1">
      <c r="A164" s="15" t="s">
        <v>154</v>
      </c>
      <c r="B164" s="181" t="s">
        <v>63</v>
      </c>
      <c r="C164" s="63" t="s">
        <v>10</v>
      </c>
      <c r="D164" s="8" t="s">
        <v>16</v>
      </c>
      <c r="E164" s="7" t="s">
        <v>45</v>
      </c>
      <c r="F164" s="7" t="s">
        <v>71</v>
      </c>
      <c r="G164" s="7" t="s">
        <v>8</v>
      </c>
      <c r="H164" s="144" t="s">
        <v>31</v>
      </c>
      <c r="I164" s="25">
        <v>100000</v>
      </c>
      <c r="J164" s="25">
        <v>61297.48</v>
      </c>
      <c r="K164" s="437">
        <f t="shared" si="5"/>
        <v>61.29748000000001</v>
      </c>
    </row>
    <row r="165" spans="1:14" ht="26.25" customHeight="1">
      <c r="A165" s="203" t="s">
        <v>528</v>
      </c>
      <c r="B165" s="181" t="s">
        <v>63</v>
      </c>
      <c r="C165" s="226" t="s">
        <v>10</v>
      </c>
      <c r="D165" s="227" t="s">
        <v>16</v>
      </c>
      <c r="E165" s="196" t="s">
        <v>529</v>
      </c>
      <c r="F165" s="196" t="s">
        <v>176</v>
      </c>
      <c r="G165" s="196" t="s">
        <v>33</v>
      </c>
      <c r="H165" s="205"/>
      <c r="I165" s="268">
        <f>I166+I167</f>
        <v>7355900</v>
      </c>
      <c r="J165" s="268">
        <f>J166+J167</f>
        <v>7355900</v>
      </c>
      <c r="K165" s="437">
        <f t="shared" si="5"/>
        <v>100</v>
      </c>
      <c r="M165">
        <v>-1500</v>
      </c>
      <c r="N165" t="s">
        <v>559</v>
      </c>
    </row>
    <row r="166" spans="1:11" ht="15" customHeight="1">
      <c r="A166" s="204" t="s">
        <v>530</v>
      </c>
      <c r="B166" s="181" t="s">
        <v>63</v>
      </c>
      <c r="C166" s="228" t="s">
        <v>10</v>
      </c>
      <c r="D166" s="229" t="s">
        <v>16</v>
      </c>
      <c r="E166" s="200" t="s">
        <v>529</v>
      </c>
      <c r="F166" s="200" t="s">
        <v>176</v>
      </c>
      <c r="G166" s="200" t="s">
        <v>33</v>
      </c>
      <c r="H166" s="206" t="s">
        <v>601</v>
      </c>
      <c r="I166" s="451">
        <f>7355900-I167</f>
        <v>4271971.88</v>
      </c>
      <c r="J166" s="451">
        <f>7355900-J167</f>
        <v>4271971.88</v>
      </c>
      <c r="K166" s="437">
        <f t="shared" si="5"/>
        <v>100</v>
      </c>
    </row>
    <row r="167" spans="1:11" ht="18" customHeight="1">
      <c r="A167" s="15" t="s">
        <v>186</v>
      </c>
      <c r="B167" s="181" t="s">
        <v>63</v>
      </c>
      <c r="C167" s="228" t="s">
        <v>10</v>
      </c>
      <c r="D167" s="229" t="s">
        <v>16</v>
      </c>
      <c r="E167" s="200" t="s">
        <v>529</v>
      </c>
      <c r="F167" s="200" t="s">
        <v>176</v>
      </c>
      <c r="G167" s="200" t="s">
        <v>33</v>
      </c>
      <c r="H167" s="206" t="s">
        <v>185</v>
      </c>
      <c r="I167" s="451">
        <v>3083928.12</v>
      </c>
      <c r="J167" s="451">
        <v>3083928.12</v>
      </c>
      <c r="K167" s="437">
        <f t="shared" si="5"/>
        <v>100</v>
      </c>
    </row>
    <row r="168" spans="1:11" ht="17.25" customHeight="1">
      <c r="A168" s="203" t="s">
        <v>531</v>
      </c>
      <c r="B168" s="181" t="s">
        <v>63</v>
      </c>
      <c r="C168" s="226" t="s">
        <v>10</v>
      </c>
      <c r="D168" s="227" t="s">
        <v>16</v>
      </c>
      <c r="E168" s="196" t="s">
        <v>529</v>
      </c>
      <c r="F168" s="196" t="s">
        <v>176</v>
      </c>
      <c r="G168" s="196" t="s">
        <v>8</v>
      </c>
      <c r="H168" s="205"/>
      <c r="I168" s="268">
        <f>I169+I170</f>
        <v>367800</v>
      </c>
      <c r="J168" s="268">
        <f>J169+J170</f>
        <v>367800</v>
      </c>
      <c r="K168" s="437">
        <f t="shared" si="5"/>
        <v>100</v>
      </c>
    </row>
    <row r="169" spans="1:11" ht="18.75">
      <c r="A169" s="204" t="s">
        <v>153</v>
      </c>
      <c r="B169" s="181" t="s">
        <v>63</v>
      </c>
      <c r="C169" s="228" t="s">
        <v>10</v>
      </c>
      <c r="D169" s="229" t="s">
        <v>16</v>
      </c>
      <c r="E169" s="200" t="s">
        <v>529</v>
      </c>
      <c r="F169" s="200" t="s">
        <v>176</v>
      </c>
      <c r="G169" s="200" t="s">
        <v>8</v>
      </c>
      <c r="H169" s="206" t="s">
        <v>31</v>
      </c>
      <c r="I169" s="451">
        <f>367800-I170</f>
        <v>288400</v>
      </c>
      <c r="J169" s="451">
        <f>367800-J170</f>
        <v>288400</v>
      </c>
      <c r="K169" s="437">
        <f t="shared" si="5"/>
        <v>100</v>
      </c>
    </row>
    <row r="170" spans="1:11" ht="16.5" customHeight="1">
      <c r="A170" s="15" t="s">
        <v>186</v>
      </c>
      <c r="B170" s="181" t="s">
        <v>63</v>
      </c>
      <c r="C170" s="228" t="s">
        <v>10</v>
      </c>
      <c r="D170" s="229" t="s">
        <v>16</v>
      </c>
      <c r="E170" s="200" t="s">
        <v>529</v>
      </c>
      <c r="F170" s="200" t="s">
        <v>176</v>
      </c>
      <c r="G170" s="200" t="s">
        <v>8</v>
      </c>
      <c r="H170" s="206" t="s">
        <v>185</v>
      </c>
      <c r="I170" s="451">
        <v>79400</v>
      </c>
      <c r="J170" s="451">
        <v>79400</v>
      </c>
      <c r="K170" s="437">
        <f t="shared" si="5"/>
        <v>100</v>
      </c>
    </row>
    <row r="171" spans="1:11" ht="17.25" customHeight="1">
      <c r="A171" s="22" t="s">
        <v>69</v>
      </c>
      <c r="B171" s="181" t="s">
        <v>63</v>
      </c>
      <c r="C171" s="54" t="s">
        <v>10</v>
      </c>
      <c r="D171" s="23" t="s">
        <v>16</v>
      </c>
      <c r="E171" s="23" t="s">
        <v>54</v>
      </c>
      <c r="F171" s="23" t="s">
        <v>33</v>
      </c>
      <c r="G171" s="23" t="s">
        <v>33</v>
      </c>
      <c r="H171" s="146"/>
      <c r="I171" s="24">
        <f>I172+I175</f>
        <v>7091471.16</v>
      </c>
      <c r="J171" s="24">
        <f>J172+J175</f>
        <v>5618087.53</v>
      </c>
      <c r="K171" s="437">
        <f t="shared" si="5"/>
        <v>79.22315981046731</v>
      </c>
    </row>
    <row r="172" spans="1:11" ht="32.25" customHeight="1">
      <c r="A172" s="46" t="s">
        <v>156</v>
      </c>
      <c r="B172" s="181" t="s">
        <v>63</v>
      </c>
      <c r="C172" s="53" t="s">
        <v>10</v>
      </c>
      <c r="D172" s="41" t="s">
        <v>16</v>
      </c>
      <c r="E172" s="41" t="s">
        <v>54</v>
      </c>
      <c r="F172" s="41" t="s">
        <v>155</v>
      </c>
      <c r="G172" s="41" t="s">
        <v>8</v>
      </c>
      <c r="H172" s="98"/>
      <c r="I172" s="42">
        <f>I173+I174</f>
        <v>6970471.16</v>
      </c>
      <c r="J172" s="42">
        <f>J173+J174</f>
        <v>5578917.84</v>
      </c>
      <c r="K172" s="437">
        <f t="shared" si="5"/>
        <v>80.03645251435199</v>
      </c>
    </row>
    <row r="173" spans="1:11" ht="18.75" customHeight="1">
      <c r="A173" s="15" t="s">
        <v>153</v>
      </c>
      <c r="B173" s="181" t="s">
        <v>63</v>
      </c>
      <c r="C173" s="52" t="s">
        <v>10</v>
      </c>
      <c r="D173" s="7" t="s">
        <v>16</v>
      </c>
      <c r="E173" s="7" t="s">
        <v>54</v>
      </c>
      <c r="F173" s="7" t="s">
        <v>155</v>
      </c>
      <c r="G173" s="7" t="s">
        <v>8</v>
      </c>
      <c r="H173" s="96" t="s">
        <v>31</v>
      </c>
      <c r="I173" s="30">
        <v>5553000</v>
      </c>
      <c r="J173" s="30">
        <f>5578917.84-J174</f>
        <v>4323092.47</v>
      </c>
      <c r="K173" s="437">
        <f t="shared" si="5"/>
        <v>77.85147613902394</v>
      </c>
    </row>
    <row r="174" spans="1:11" ht="18" customHeight="1">
      <c r="A174" s="15" t="s">
        <v>160</v>
      </c>
      <c r="B174" s="181" t="s">
        <v>63</v>
      </c>
      <c r="C174" s="52" t="s">
        <v>10</v>
      </c>
      <c r="D174" s="7" t="s">
        <v>16</v>
      </c>
      <c r="E174" s="7" t="s">
        <v>54</v>
      </c>
      <c r="F174" s="7" t="s">
        <v>155</v>
      </c>
      <c r="G174" s="7" t="s">
        <v>8</v>
      </c>
      <c r="H174" s="96" t="s">
        <v>174</v>
      </c>
      <c r="I174" s="25">
        <v>1417471.16</v>
      </c>
      <c r="J174" s="25">
        <v>1255825.37</v>
      </c>
      <c r="K174" s="437">
        <f t="shared" si="5"/>
        <v>88.59618491285566</v>
      </c>
    </row>
    <row r="175" spans="1:11" ht="15.75" customHeight="1">
      <c r="A175" s="46" t="s">
        <v>86</v>
      </c>
      <c r="B175" s="181" t="s">
        <v>63</v>
      </c>
      <c r="C175" s="53" t="s">
        <v>10</v>
      </c>
      <c r="D175" s="41" t="s">
        <v>16</v>
      </c>
      <c r="E175" s="41" t="s">
        <v>54</v>
      </c>
      <c r="F175" s="41" t="s">
        <v>155</v>
      </c>
      <c r="G175" s="41" t="s">
        <v>16</v>
      </c>
      <c r="H175" s="98"/>
      <c r="I175" s="42">
        <f>I176+I177</f>
        <v>121000</v>
      </c>
      <c r="J175" s="42">
        <f>J176+J177</f>
        <v>39169.69</v>
      </c>
      <c r="K175" s="437">
        <f t="shared" si="5"/>
        <v>32.371644628099176</v>
      </c>
    </row>
    <row r="176" spans="1:11" ht="33.75" customHeight="1">
      <c r="A176" s="15" t="s">
        <v>153</v>
      </c>
      <c r="B176" s="181" t="s">
        <v>63</v>
      </c>
      <c r="C176" s="52" t="s">
        <v>10</v>
      </c>
      <c r="D176" s="7" t="s">
        <v>16</v>
      </c>
      <c r="E176" s="7" t="s">
        <v>54</v>
      </c>
      <c r="F176" s="7" t="s">
        <v>155</v>
      </c>
      <c r="G176" s="7" t="s">
        <v>16</v>
      </c>
      <c r="H176" s="96" t="s">
        <v>31</v>
      </c>
      <c r="I176" s="30">
        <v>99690</v>
      </c>
      <c r="J176" s="30">
        <f>39169.69-J177</f>
        <v>24097.690000000002</v>
      </c>
      <c r="K176" s="437">
        <f t="shared" si="5"/>
        <v>24.17262513792758</v>
      </c>
    </row>
    <row r="177" spans="1:11" ht="18" customHeight="1">
      <c r="A177" s="15" t="s">
        <v>186</v>
      </c>
      <c r="B177" s="181" t="s">
        <v>63</v>
      </c>
      <c r="C177" s="52" t="s">
        <v>10</v>
      </c>
      <c r="D177" s="7" t="s">
        <v>16</v>
      </c>
      <c r="E177" s="7" t="s">
        <v>54</v>
      </c>
      <c r="F177" s="7" t="s">
        <v>155</v>
      </c>
      <c r="G177" s="7" t="s">
        <v>16</v>
      </c>
      <c r="H177" s="144" t="s">
        <v>185</v>
      </c>
      <c r="I177" s="25">
        <v>21310</v>
      </c>
      <c r="J177" s="25">
        <v>15072</v>
      </c>
      <c r="K177" s="437">
        <f t="shared" si="5"/>
        <v>70.72735804786485</v>
      </c>
    </row>
    <row r="178" spans="1:11" ht="18.75">
      <c r="A178" s="38" t="s">
        <v>57</v>
      </c>
      <c r="B178" s="181" t="s">
        <v>63</v>
      </c>
      <c r="C178" s="64" t="s">
        <v>10</v>
      </c>
      <c r="D178" s="13" t="s">
        <v>16</v>
      </c>
      <c r="E178" s="12" t="s">
        <v>4</v>
      </c>
      <c r="F178" s="12" t="s">
        <v>33</v>
      </c>
      <c r="G178" s="12" t="s">
        <v>33</v>
      </c>
      <c r="H178" s="142"/>
      <c r="I178" s="24">
        <f>I179</f>
        <v>2991000</v>
      </c>
      <c r="J178" s="24">
        <f>J179</f>
        <v>2537400.01</v>
      </c>
      <c r="K178" s="437">
        <f t="shared" si="5"/>
        <v>84.83450384486792</v>
      </c>
    </row>
    <row r="179" spans="1:11" ht="18" customHeight="1">
      <c r="A179" s="46" t="s">
        <v>122</v>
      </c>
      <c r="B179" s="181" t="s">
        <v>63</v>
      </c>
      <c r="C179" s="62" t="s">
        <v>10</v>
      </c>
      <c r="D179" s="44" t="s">
        <v>16</v>
      </c>
      <c r="E179" s="41" t="s">
        <v>4</v>
      </c>
      <c r="F179" s="41" t="s">
        <v>12</v>
      </c>
      <c r="G179" s="41" t="s">
        <v>33</v>
      </c>
      <c r="H179" s="143"/>
      <c r="I179" s="42">
        <f>SUM(I180:I183)</f>
        <v>2991000</v>
      </c>
      <c r="J179" s="42">
        <f>SUM(J180:J183)</f>
        <v>2537400.01</v>
      </c>
      <c r="K179" s="437">
        <f t="shared" si="5"/>
        <v>84.83450384486792</v>
      </c>
    </row>
    <row r="180" spans="1:11" ht="17.25" customHeight="1">
      <c r="A180" s="15" t="s">
        <v>198</v>
      </c>
      <c r="B180" s="181" t="s">
        <v>63</v>
      </c>
      <c r="C180" s="63" t="s">
        <v>10</v>
      </c>
      <c r="D180" s="8" t="s">
        <v>16</v>
      </c>
      <c r="E180" s="7" t="s">
        <v>4</v>
      </c>
      <c r="F180" s="8" t="s">
        <v>12</v>
      </c>
      <c r="G180" s="8" t="s">
        <v>33</v>
      </c>
      <c r="H180" s="144" t="s">
        <v>31</v>
      </c>
      <c r="I180" s="25">
        <v>1126968.32</v>
      </c>
      <c r="J180" s="25">
        <v>1075770.3</v>
      </c>
      <c r="K180" s="437">
        <f t="shared" si="5"/>
        <v>95.45701337904512</v>
      </c>
    </row>
    <row r="181" spans="1:11" ht="19.5" customHeight="1">
      <c r="A181" s="15" t="s">
        <v>602</v>
      </c>
      <c r="B181" s="181" t="s">
        <v>63</v>
      </c>
      <c r="C181" s="63" t="s">
        <v>10</v>
      </c>
      <c r="D181" s="8" t="s">
        <v>16</v>
      </c>
      <c r="E181" s="7" t="s">
        <v>4</v>
      </c>
      <c r="F181" s="8" t="s">
        <v>12</v>
      </c>
      <c r="G181" s="8" t="s">
        <v>33</v>
      </c>
      <c r="H181" s="144" t="s">
        <v>31</v>
      </c>
      <c r="I181" s="25">
        <f>376818.57+84481.43</f>
        <v>461300</v>
      </c>
      <c r="J181" s="25">
        <v>58898.03</v>
      </c>
      <c r="K181" s="437">
        <f t="shared" si="5"/>
        <v>12.76783654888359</v>
      </c>
    </row>
    <row r="182" spans="1:11" ht="16.5" customHeight="1">
      <c r="A182" s="15" t="s">
        <v>199</v>
      </c>
      <c r="B182" s="181" t="s">
        <v>63</v>
      </c>
      <c r="C182" s="63" t="s">
        <v>10</v>
      </c>
      <c r="D182" s="8" t="s">
        <v>16</v>
      </c>
      <c r="E182" s="7" t="s">
        <v>4</v>
      </c>
      <c r="F182" s="8" t="s">
        <v>12</v>
      </c>
      <c r="G182" s="8" t="s">
        <v>33</v>
      </c>
      <c r="H182" s="144" t="s">
        <v>185</v>
      </c>
      <c r="I182" s="25">
        <v>1253231.68</v>
      </c>
      <c r="J182" s="25">
        <v>1253231.68</v>
      </c>
      <c r="K182" s="437">
        <f t="shared" si="5"/>
        <v>100</v>
      </c>
    </row>
    <row r="183" spans="1:11" ht="20.25" customHeight="1">
      <c r="A183" s="15" t="s">
        <v>197</v>
      </c>
      <c r="B183" s="181" t="s">
        <v>63</v>
      </c>
      <c r="C183" s="63" t="s">
        <v>10</v>
      </c>
      <c r="D183" s="8" t="s">
        <v>16</v>
      </c>
      <c r="E183" s="7" t="s">
        <v>4</v>
      </c>
      <c r="F183" s="8" t="s">
        <v>12</v>
      </c>
      <c r="G183" s="8" t="s">
        <v>33</v>
      </c>
      <c r="H183" s="144" t="s">
        <v>185</v>
      </c>
      <c r="I183" s="25">
        <v>149500</v>
      </c>
      <c r="J183" s="25">
        <v>149500</v>
      </c>
      <c r="K183" s="437">
        <f t="shared" si="5"/>
        <v>100</v>
      </c>
    </row>
    <row r="184" spans="1:11" ht="17.25" customHeight="1">
      <c r="A184" s="38" t="s">
        <v>121</v>
      </c>
      <c r="B184" s="181" t="s">
        <v>63</v>
      </c>
      <c r="C184" s="64" t="s">
        <v>10</v>
      </c>
      <c r="D184" s="13" t="s">
        <v>16</v>
      </c>
      <c r="E184" s="12" t="s">
        <v>151</v>
      </c>
      <c r="F184" s="13" t="s">
        <v>8</v>
      </c>
      <c r="G184" s="13" t="s">
        <v>33</v>
      </c>
      <c r="H184" s="142"/>
      <c r="I184" s="24">
        <f>SUM(I185:I188)</f>
        <v>138493765.19</v>
      </c>
      <c r="J184" s="24">
        <f>SUM(J185:J188)</f>
        <v>138288436.2</v>
      </c>
      <c r="K184" s="437">
        <f t="shared" si="5"/>
        <v>99.85174134754851</v>
      </c>
    </row>
    <row r="185" spans="1:11" ht="15.75" customHeight="1">
      <c r="A185" s="15" t="s">
        <v>153</v>
      </c>
      <c r="B185" s="181" t="s">
        <v>63</v>
      </c>
      <c r="C185" s="63" t="s">
        <v>10</v>
      </c>
      <c r="D185" s="8" t="s">
        <v>16</v>
      </c>
      <c r="E185" s="7" t="s">
        <v>151</v>
      </c>
      <c r="F185" s="8" t="s">
        <v>8</v>
      </c>
      <c r="G185" s="8" t="s">
        <v>33</v>
      </c>
      <c r="H185" s="144" t="s">
        <v>31</v>
      </c>
      <c r="I185" s="25">
        <v>75783741.45</v>
      </c>
      <c r="J185" s="25">
        <v>75578412.46</v>
      </c>
      <c r="K185" s="437">
        <f t="shared" si="5"/>
        <v>99.7290593126291</v>
      </c>
    </row>
    <row r="186" spans="1:11" ht="16.5" customHeight="1">
      <c r="A186" s="78" t="s">
        <v>157</v>
      </c>
      <c r="B186" s="181" t="s">
        <v>63</v>
      </c>
      <c r="C186" s="63" t="s">
        <v>10</v>
      </c>
      <c r="D186" s="8" t="s">
        <v>16</v>
      </c>
      <c r="E186" s="7" t="s">
        <v>151</v>
      </c>
      <c r="F186" s="8" t="s">
        <v>8</v>
      </c>
      <c r="G186" s="8" t="s">
        <v>33</v>
      </c>
      <c r="H186" s="144" t="s">
        <v>158</v>
      </c>
      <c r="I186" s="25">
        <f>57400000+3317258.55</f>
        <v>60717258.55</v>
      </c>
      <c r="J186" s="25">
        <f>57400000+3317258.55</f>
        <v>60717258.55</v>
      </c>
      <c r="K186" s="437">
        <f t="shared" si="5"/>
        <v>100</v>
      </c>
    </row>
    <row r="187" spans="1:11" ht="17.25" customHeight="1">
      <c r="A187" s="15" t="s">
        <v>203</v>
      </c>
      <c r="B187" s="181" t="s">
        <v>63</v>
      </c>
      <c r="C187" s="63" t="s">
        <v>10</v>
      </c>
      <c r="D187" s="8" t="s">
        <v>16</v>
      </c>
      <c r="E187" s="7" t="s">
        <v>151</v>
      </c>
      <c r="F187" s="8" t="s">
        <v>8</v>
      </c>
      <c r="G187" s="8" t="s">
        <v>33</v>
      </c>
      <c r="H187" s="144" t="s">
        <v>31</v>
      </c>
      <c r="I187" s="25">
        <v>1240000</v>
      </c>
      <c r="J187" s="25">
        <v>1240000</v>
      </c>
      <c r="K187" s="437">
        <f t="shared" si="5"/>
        <v>100</v>
      </c>
    </row>
    <row r="188" spans="1:11" ht="18.75">
      <c r="A188" s="15" t="s">
        <v>203</v>
      </c>
      <c r="B188" s="181" t="s">
        <v>63</v>
      </c>
      <c r="C188" s="63" t="s">
        <v>10</v>
      </c>
      <c r="D188" s="8" t="s">
        <v>16</v>
      </c>
      <c r="E188" s="7" t="s">
        <v>151</v>
      </c>
      <c r="F188" s="8" t="s">
        <v>8</v>
      </c>
      <c r="G188" s="8" t="s">
        <v>33</v>
      </c>
      <c r="H188" s="144" t="s">
        <v>158</v>
      </c>
      <c r="I188" s="25">
        <f>1992765.19-I187</f>
        <v>752765.19</v>
      </c>
      <c r="J188" s="25">
        <f>1992765.19-J187</f>
        <v>752765.19</v>
      </c>
      <c r="K188" s="437">
        <f t="shared" si="5"/>
        <v>100</v>
      </c>
    </row>
    <row r="189" spans="1:11" ht="27" customHeight="1">
      <c r="A189" s="247" t="s">
        <v>226</v>
      </c>
      <c r="B189" s="181" t="s">
        <v>63</v>
      </c>
      <c r="C189" s="248" t="s">
        <v>10</v>
      </c>
      <c r="D189" s="249" t="s">
        <v>16</v>
      </c>
      <c r="E189" s="231" t="s">
        <v>151</v>
      </c>
      <c r="F189" s="249" t="s">
        <v>12</v>
      </c>
      <c r="G189" s="249" t="s">
        <v>33</v>
      </c>
      <c r="H189" s="250"/>
      <c r="I189" s="233">
        <f>I190</f>
        <v>886000</v>
      </c>
      <c r="J189" s="233">
        <f>J190</f>
        <v>310291.52</v>
      </c>
      <c r="K189" s="437">
        <f t="shared" si="5"/>
        <v>35.02161625282167</v>
      </c>
    </row>
    <row r="190" spans="1:11" ht="27" customHeight="1">
      <c r="A190" s="204" t="s">
        <v>200</v>
      </c>
      <c r="B190" s="181" t="s">
        <v>63</v>
      </c>
      <c r="C190" s="228" t="s">
        <v>10</v>
      </c>
      <c r="D190" s="229" t="s">
        <v>16</v>
      </c>
      <c r="E190" s="200" t="s">
        <v>151</v>
      </c>
      <c r="F190" s="229" t="s">
        <v>12</v>
      </c>
      <c r="G190" s="229" t="s">
        <v>33</v>
      </c>
      <c r="H190" s="206" t="s">
        <v>185</v>
      </c>
      <c r="I190" s="202">
        <v>886000</v>
      </c>
      <c r="J190" s="202">
        <v>310291.52</v>
      </c>
      <c r="K190" s="437">
        <f>J190/I190*100</f>
        <v>35.02161625282167</v>
      </c>
    </row>
    <row r="191" spans="1:11" ht="19.5" customHeight="1">
      <c r="A191" s="247" t="s">
        <v>229</v>
      </c>
      <c r="B191" s="181" t="s">
        <v>63</v>
      </c>
      <c r="C191" s="248" t="s">
        <v>10</v>
      </c>
      <c r="D191" s="249" t="s">
        <v>16</v>
      </c>
      <c r="E191" s="231" t="s">
        <v>151</v>
      </c>
      <c r="F191" s="249" t="s">
        <v>12</v>
      </c>
      <c r="G191" s="249" t="s">
        <v>8</v>
      </c>
      <c r="H191" s="250"/>
      <c r="I191" s="233">
        <f>I192</f>
        <v>98000</v>
      </c>
      <c r="J191" s="233">
        <f>J192</f>
        <v>94000</v>
      </c>
      <c r="K191" s="437">
        <f t="shared" si="5"/>
        <v>95.91836734693877</v>
      </c>
    </row>
    <row r="192" spans="1:11" ht="31.5" customHeight="1">
      <c r="A192" s="204" t="s">
        <v>200</v>
      </c>
      <c r="B192" s="181" t="s">
        <v>63</v>
      </c>
      <c r="C192" s="228" t="s">
        <v>10</v>
      </c>
      <c r="D192" s="229" t="s">
        <v>16</v>
      </c>
      <c r="E192" s="200" t="s">
        <v>151</v>
      </c>
      <c r="F192" s="229" t="s">
        <v>12</v>
      </c>
      <c r="G192" s="229" t="s">
        <v>8</v>
      </c>
      <c r="H192" s="206" t="s">
        <v>185</v>
      </c>
      <c r="I192" s="202">
        <v>98000</v>
      </c>
      <c r="J192" s="202">
        <v>94000</v>
      </c>
      <c r="K192" s="437">
        <f t="shared" si="5"/>
        <v>95.91836734693877</v>
      </c>
    </row>
    <row r="193" spans="1:11" ht="38.25">
      <c r="A193" s="247" t="s">
        <v>227</v>
      </c>
      <c r="B193" s="181" t="s">
        <v>63</v>
      </c>
      <c r="C193" s="248" t="s">
        <v>10</v>
      </c>
      <c r="D193" s="249" t="s">
        <v>16</v>
      </c>
      <c r="E193" s="231" t="s">
        <v>151</v>
      </c>
      <c r="F193" s="249" t="s">
        <v>66</v>
      </c>
      <c r="G193" s="249" t="s">
        <v>33</v>
      </c>
      <c r="H193" s="250"/>
      <c r="I193" s="233">
        <f>I194</f>
        <v>52000</v>
      </c>
      <c r="J193" s="233">
        <f>J194</f>
        <v>48348.91</v>
      </c>
      <c r="K193" s="437">
        <f t="shared" si="5"/>
        <v>92.97867307692307</v>
      </c>
    </row>
    <row r="194" spans="1:11" ht="18.75">
      <c r="A194" s="15" t="s">
        <v>153</v>
      </c>
      <c r="B194" s="181" t="s">
        <v>63</v>
      </c>
      <c r="C194" s="228" t="s">
        <v>10</v>
      </c>
      <c r="D194" s="229" t="s">
        <v>16</v>
      </c>
      <c r="E194" s="200" t="s">
        <v>151</v>
      </c>
      <c r="F194" s="229" t="s">
        <v>66</v>
      </c>
      <c r="G194" s="229" t="s">
        <v>33</v>
      </c>
      <c r="H194" s="206" t="s">
        <v>31</v>
      </c>
      <c r="I194" s="202">
        <v>52000</v>
      </c>
      <c r="J194" s="202">
        <v>48348.91</v>
      </c>
      <c r="K194" s="437">
        <f t="shared" si="5"/>
        <v>92.97867307692307</v>
      </c>
    </row>
    <row r="195" spans="1:11" ht="15" customHeight="1">
      <c r="A195" s="203" t="s">
        <v>228</v>
      </c>
      <c r="B195" s="181" t="s">
        <v>63</v>
      </c>
      <c r="C195" s="226" t="s">
        <v>10</v>
      </c>
      <c r="D195" s="227" t="s">
        <v>16</v>
      </c>
      <c r="E195" s="196" t="s">
        <v>147</v>
      </c>
      <c r="F195" s="196" t="s">
        <v>16</v>
      </c>
      <c r="G195" s="196" t="s">
        <v>8</v>
      </c>
      <c r="H195" s="205"/>
      <c r="I195" s="268">
        <f>I196+I197</f>
        <v>644500</v>
      </c>
      <c r="J195" s="268">
        <f>J196+J197</f>
        <v>589208.11</v>
      </c>
      <c r="K195" s="437">
        <f t="shared" si="5"/>
        <v>91.42096353762606</v>
      </c>
    </row>
    <row r="196" spans="1:11" ht="37.5" customHeight="1">
      <c r="A196" s="204" t="s">
        <v>153</v>
      </c>
      <c r="B196" s="181" t="s">
        <v>63</v>
      </c>
      <c r="C196" s="228" t="s">
        <v>10</v>
      </c>
      <c r="D196" s="229" t="s">
        <v>16</v>
      </c>
      <c r="E196" s="200" t="s">
        <v>147</v>
      </c>
      <c r="F196" s="229" t="s">
        <v>16</v>
      </c>
      <c r="G196" s="229" t="s">
        <v>8</v>
      </c>
      <c r="H196" s="206" t="s">
        <v>31</v>
      </c>
      <c r="I196" s="202">
        <f>644500-I197</f>
        <v>475320</v>
      </c>
      <c r="J196" s="202">
        <f>589208.11-J197</f>
        <v>420543.11</v>
      </c>
      <c r="K196" s="437">
        <f t="shared" si="5"/>
        <v>88.47578683834048</v>
      </c>
    </row>
    <row r="197" spans="1:11" ht="15" customHeight="1">
      <c r="A197" s="204" t="s">
        <v>200</v>
      </c>
      <c r="B197" s="181" t="s">
        <v>63</v>
      </c>
      <c r="C197" s="228" t="s">
        <v>10</v>
      </c>
      <c r="D197" s="229" t="s">
        <v>16</v>
      </c>
      <c r="E197" s="200" t="s">
        <v>147</v>
      </c>
      <c r="F197" s="229" t="s">
        <v>16</v>
      </c>
      <c r="G197" s="229" t="s">
        <v>8</v>
      </c>
      <c r="H197" s="206" t="s">
        <v>185</v>
      </c>
      <c r="I197" s="202">
        <v>169180</v>
      </c>
      <c r="J197" s="202">
        <v>168665</v>
      </c>
      <c r="K197" s="437">
        <f t="shared" si="5"/>
        <v>99.69559049533042</v>
      </c>
    </row>
    <row r="198" spans="1:11" ht="28.5" customHeight="1">
      <c r="A198" s="215" t="s">
        <v>180</v>
      </c>
      <c r="B198" s="181" t="s">
        <v>63</v>
      </c>
      <c r="C198" s="216" t="s">
        <v>10</v>
      </c>
      <c r="D198" s="217" t="s">
        <v>10</v>
      </c>
      <c r="E198" s="217"/>
      <c r="F198" s="217"/>
      <c r="G198" s="217"/>
      <c r="H198" s="206"/>
      <c r="I198" s="218">
        <f>I199+I205+I202</f>
        <v>2223540.1</v>
      </c>
      <c r="J198" s="218">
        <f>J199+J205+J202</f>
        <v>2148595.45</v>
      </c>
      <c r="K198" s="437">
        <f t="shared" si="5"/>
        <v>96.62948961433167</v>
      </c>
    </row>
    <row r="199" spans="1:11" ht="18" customHeight="1">
      <c r="A199" s="203" t="s">
        <v>230</v>
      </c>
      <c r="B199" s="181" t="s">
        <v>63</v>
      </c>
      <c r="C199" s="226" t="s">
        <v>10</v>
      </c>
      <c r="D199" s="227" t="s">
        <v>10</v>
      </c>
      <c r="E199" s="196" t="s">
        <v>151</v>
      </c>
      <c r="F199" s="196" t="s">
        <v>13</v>
      </c>
      <c r="G199" s="196" t="s">
        <v>33</v>
      </c>
      <c r="H199" s="205"/>
      <c r="I199" s="268">
        <f>I200+I201</f>
        <v>1783000</v>
      </c>
      <c r="J199" s="268">
        <f>J200+J201</f>
        <v>1710054.65</v>
      </c>
      <c r="K199" s="437">
        <f t="shared" si="5"/>
        <v>95.90884183959618</v>
      </c>
    </row>
    <row r="200" spans="1:11" ht="15.75" customHeight="1">
      <c r="A200" s="204" t="s">
        <v>231</v>
      </c>
      <c r="B200" s="181" t="s">
        <v>63</v>
      </c>
      <c r="C200" s="228" t="s">
        <v>10</v>
      </c>
      <c r="D200" s="229" t="s">
        <v>10</v>
      </c>
      <c r="E200" s="200" t="s">
        <v>151</v>
      </c>
      <c r="F200" s="229" t="s">
        <v>13</v>
      </c>
      <c r="G200" s="229" t="s">
        <v>33</v>
      </c>
      <c r="H200" s="206" t="s">
        <v>81</v>
      </c>
      <c r="I200" s="202">
        <f>1783000-I201</f>
        <v>810600</v>
      </c>
      <c r="J200" s="202">
        <v>746347.65</v>
      </c>
      <c r="K200" s="437">
        <f t="shared" si="5"/>
        <v>92.07348260547744</v>
      </c>
    </row>
    <row r="201" spans="1:11" ht="17.25" customHeight="1">
      <c r="A201" s="204" t="s">
        <v>200</v>
      </c>
      <c r="B201" s="181" t="s">
        <v>63</v>
      </c>
      <c r="C201" s="228" t="s">
        <v>10</v>
      </c>
      <c r="D201" s="229" t="s">
        <v>10</v>
      </c>
      <c r="E201" s="200" t="s">
        <v>151</v>
      </c>
      <c r="F201" s="229" t="s">
        <v>13</v>
      </c>
      <c r="G201" s="229" t="s">
        <v>33</v>
      </c>
      <c r="H201" s="206" t="s">
        <v>185</v>
      </c>
      <c r="I201" s="202">
        <v>972400</v>
      </c>
      <c r="J201" s="202">
        <v>963707</v>
      </c>
      <c r="K201" s="437">
        <f t="shared" si="5"/>
        <v>99.10602632661455</v>
      </c>
    </row>
    <row r="202" spans="1:11" ht="18.75" customHeight="1">
      <c r="A202" s="203" t="s">
        <v>532</v>
      </c>
      <c r="B202" s="181" t="s">
        <v>63</v>
      </c>
      <c r="C202" s="226" t="s">
        <v>10</v>
      </c>
      <c r="D202" s="227" t="s">
        <v>10</v>
      </c>
      <c r="E202" s="196" t="s">
        <v>151</v>
      </c>
      <c r="F202" s="196" t="s">
        <v>13</v>
      </c>
      <c r="G202" s="196" t="s">
        <v>8</v>
      </c>
      <c r="H202" s="205"/>
      <c r="I202" s="268">
        <f>I203+I204</f>
        <v>198100</v>
      </c>
      <c r="J202" s="268">
        <f>J203+J204</f>
        <v>197659</v>
      </c>
      <c r="K202" s="437">
        <f t="shared" si="5"/>
        <v>99.7773851590106</v>
      </c>
    </row>
    <row r="203" spans="1:11" ht="16.5" customHeight="1">
      <c r="A203" s="204" t="s">
        <v>231</v>
      </c>
      <c r="B203" s="181" t="s">
        <v>63</v>
      </c>
      <c r="C203" s="228" t="s">
        <v>10</v>
      </c>
      <c r="D203" s="229" t="s">
        <v>10</v>
      </c>
      <c r="E203" s="200" t="s">
        <v>151</v>
      </c>
      <c r="F203" s="229" t="s">
        <v>13</v>
      </c>
      <c r="G203" s="229" t="s">
        <v>8</v>
      </c>
      <c r="H203" s="206" t="s">
        <v>81</v>
      </c>
      <c r="I203" s="202">
        <f>198100-I204</f>
        <v>86303</v>
      </c>
      <c r="J203" s="202">
        <v>86303</v>
      </c>
      <c r="K203" s="437">
        <f t="shared" si="5"/>
        <v>100</v>
      </c>
    </row>
    <row r="204" spans="1:11" ht="20.25" customHeight="1">
      <c r="A204" s="204" t="s">
        <v>200</v>
      </c>
      <c r="B204" s="181" t="s">
        <v>63</v>
      </c>
      <c r="C204" s="228" t="s">
        <v>10</v>
      </c>
      <c r="D204" s="229" t="s">
        <v>10</v>
      </c>
      <c r="E204" s="200" t="s">
        <v>151</v>
      </c>
      <c r="F204" s="229" t="s">
        <v>13</v>
      </c>
      <c r="G204" s="229" t="s">
        <v>8</v>
      </c>
      <c r="H204" s="206" t="s">
        <v>185</v>
      </c>
      <c r="I204" s="202">
        <v>111797</v>
      </c>
      <c r="J204" s="202">
        <v>111356</v>
      </c>
      <c r="K204" s="437">
        <f t="shared" si="5"/>
        <v>99.60553503224595</v>
      </c>
    </row>
    <row r="205" spans="1:11" ht="26.25" customHeight="1">
      <c r="A205" s="80" t="s">
        <v>59</v>
      </c>
      <c r="B205" s="181" t="s">
        <v>63</v>
      </c>
      <c r="C205" s="61" t="s">
        <v>10</v>
      </c>
      <c r="D205" s="19" t="s">
        <v>10</v>
      </c>
      <c r="E205" s="19" t="s">
        <v>58</v>
      </c>
      <c r="F205" s="19" t="s">
        <v>33</v>
      </c>
      <c r="G205" s="19" t="s">
        <v>33</v>
      </c>
      <c r="H205" s="138"/>
      <c r="I205" s="24">
        <f>I206</f>
        <v>242440.09999999998</v>
      </c>
      <c r="J205" s="24">
        <f>J206</f>
        <v>240881.8</v>
      </c>
      <c r="K205" s="437">
        <f t="shared" si="5"/>
        <v>99.35724329432301</v>
      </c>
    </row>
    <row r="206" spans="1:11" ht="20.25" customHeight="1">
      <c r="A206" s="156" t="s">
        <v>181</v>
      </c>
      <c r="B206" s="181" t="s">
        <v>63</v>
      </c>
      <c r="C206" s="93" t="s">
        <v>10</v>
      </c>
      <c r="D206" s="41" t="s">
        <v>10</v>
      </c>
      <c r="E206" s="41" t="s">
        <v>58</v>
      </c>
      <c r="F206" s="41" t="s">
        <v>14</v>
      </c>
      <c r="G206" s="41" t="s">
        <v>33</v>
      </c>
      <c r="H206" s="41"/>
      <c r="I206" s="42">
        <f>SUM(I207:I209)</f>
        <v>242440.09999999998</v>
      </c>
      <c r="J206" s="42">
        <f>SUM(J207:J209)</f>
        <v>240881.8</v>
      </c>
      <c r="K206" s="437">
        <f t="shared" si="5"/>
        <v>99.35724329432301</v>
      </c>
    </row>
    <row r="207" spans="1:11" ht="18.75">
      <c r="A207" s="204" t="s">
        <v>231</v>
      </c>
      <c r="B207" s="181" t="s">
        <v>63</v>
      </c>
      <c r="C207" s="63" t="s">
        <v>10</v>
      </c>
      <c r="D207" s="8" t="s">
        <v>10</v>
      </c>
      <c r="E207" s="7" t="s">
        <v>58</v>
      </c>
      <c r="F207" s="8" t="s">
        <v>14</v>
      </c>
      <c r="G207" s="8" t="s">
        <v>33</v>
      </c>
      <c r="H207" s="144" t="s">
        <v>81</v>
      </c>
      <c r="I207" s="25">
        <v>35394</v>
      </c>
      <c r="J207" s="25">
        <v>33835.7</v>
      </c>
      <c r="K207" s="437">
        <f t="shared" si="5"/>
        <v>95.59727637452676</v>
      </c>
    </row>
    <row r="208" spans="1:11" ht="20.25" customHeight="1">
      <c r="A208" s="72" t="s">
        <v>79</v>
      </c>
      <c r="B208" s="181" t="s">
        <v>63</v>
      </c>
      <c r="C208" s="63" t="s">
        <v>10</v>
      </c>
      <c r="D208" s="8" t="s">
        <v>10</v>
      </c>
      <c r="E208" s="7" t="s">
        <v>58</v>
      </c>
      <c r="F208" s="8" t="s">
        <v>14</v>
      </c>
      <c r="G208" s="8" t="s">
        <v>33</v>
      </c>
      <c r="H208" s="144" t="s">
        <v>87</v>
      </c>
      <c r="I208" s="25">
        <v>173901.49</v>
      </c>
      <c r="J208" s="25">
        <v>173901.49</v>
      </c>
      <c r="K208" s="437">
        <f t="shared" si="5"/>
        <v>100</v>
      </c>
    </row>
    <row r="209" spans="1:11" ht="15.75" customHeight="1">
      <c r="A209" s="204" t="s">
        <v>200</v>
      </c>
      <c r="B209" s="181" t="s">
        <v>63</v>
      </c>
      <c r="C209" s="63" t="s">
        <v>10</v>
      </c>
      <c r="D209" s="8" t="s">
        <v>10</v>
      </c>
      <c r="E209" s="7" t="s">
        <v>58</v>
      </c>
      <c r="F209" s="8" t="s">
        <v>14</v>
      </c>
      <c r="G209" s="8" t="s">
        <v>33</v>
      </c>
      <c r="H209" s="206" t="s">
        <v>185</v>
      </c>
      <c r="I209" s="202">
        <v>33144.61</v>
      </c>
      <c r="J209" s="202">
        <v>33144.61</v>
      </c>
      <c r="K209" s="437">
        <f t="shared" si="5"/>
        <v>100</v>
      </c>
    </row>
    <row r="210" spans="1:11" ht="15.75" customHeight="1">
      <c r="A210" s="39" t="s">
        <v>46</v>
      </c>
      <c r="B210" s="181" t="s">
        <v>63</v>
      </c>
      <c r="C210" s="60" t="s">
        <v>10</v>
      </c>
      <c r="D210" s="6" t="s">
        <v>12</v>
      </c>
      <c r="E210" s="6"/>
      <c r="F210" s="6"/>
      <c r="G210" s="6"/>
      <c r="H210" s="131"/>
      <c r="I210" s="26">
        <f>I211+I215</f>
        <v>14451804.5</v>
      </c>
      <c r="J210" s="26">
        <f>J211+J215</f>
        <v>14292678.35</v>
      </c>
      <c r="K210" s="437">
        <f>J210/I210*100</f>
        <v>98.89891847070031</v>
      </c>
    </row>
    <row r="211" spans="1:11" ht="15" customHeight="1">
      <c r="A211" s="38" t="s">
        <v>1</v>
      </c>
      <c r="B211" s="181" t="s">
        <v>63</v>
      </c>
      <c r="C211" s="64" t="s">
        <v>10</v>
      </c>
      <c r="D211" s="12" t="s">
        <v>12</v>
      </c>
      <c r="E211" s="12" t="s">
        <v>29</v>
      </c>
      <c r="F211" s="12" t="s">
        <v>33</v>
      </c>
      <c r="G211" s="12" t="s">
        <v>33</v>
      </c>
      <c r="H211" s="97"/>
      <c r="I211" s="24">
        <f>I212</f>
        <v>10146204.5</v>
      </c>
      <c r="J211" s="24">
        <f>J212</f>
        <v>10093494.67</v>
      </c>
      <c r="K211" s="437">
        <f t="shared" si="5"/>
        <v>99.48049706666173</v>
      </c>
    </row>
    <row r="212" spans="1:11" ht="15" customHeight="1">
      <c r="A212" s="46" t="s">
        <v>2</v>
      </c>
      <c r="B212" s="181" t="s">
        <v>63</v>
      </c>
      <c r="C212" s="62" t="s">
        <v>10</v>
      </c>
      <c r="D212" s="41" t="s">
        <v>12</v>
      </c>
      <c r="E212" s="41" t="s">
        <v>29</v>
      </c>
      <c r="F212" s="41" t="s">
        <v>71</v>
      </c>
      <c r="G212" s="41" t="s">
        <v>33</v>
      </c>
      <c r="H212" s="98"/>
      <c r="I212" s="42">
        <f>I213+I214</f>
        <v>10146204.5</v>
      </c>
      <c r="J212" s="42">
        <f>J213+J214</f>
        <v>10093494.67</v>
      </c>
      <c r="K212" s="437">
        <f>J212/I212*100</f>
        <v>99.48049706666173</v>
      </c>
    </row>
    <row r="213" spans="1:11" ht="18.75" customHeight="1">
      <c r="A213" s="15" t="s">
        <v>153</v>
      </c>
      <c r="B213" s="181" t="s">
        <v>63</v>
      </c>
      <c r="C213" s="63" t="s">
        <v>10</v>
      </c>
      <c r="D213" s="7" t="s">
        <v>12</v>
      </c>
      <c r="E213" s="7" t="s">
        <v>29</v>
      </c>
      <c r="F213" s="7" t="s">
        <v>71</v>
      </c>
      <c r="G213" s="7" t="s">
        <v>33</v>
      </c>
      <c r="H213" s="96" t="s">
        <v>31</v>
      </c>
      <c r="I213" s="25">
        <v>10146204.5</v>
      </c>
      <c r="J213" s="25">
        <v>10093494.67</v>
      </c>
      <c r="K213" s="437">
        <f t="shared" si="5"/>
        <v>99.48049706666173</v>
      </c>
    </row>
    <row r="214" spans="1:11" ht="30" customHeight="1">
      <c r="A214" s="15" t="s">
        <v>165</v>
      </c>
      <c r="B214" s="181" t="s">
        <v>63</v>
      </c>
      <c r="C214" s="63" t="s">
        <v>10</v>
      </c>
      <c r="D214" s="7" t="s">
        <v>12</v>
      </c>
      <c r="E214" s="7" t="s">
        <v>29</v>
      </c>
      <c r="F214" s="7" t="s">
        <v>71</v>
      </c>
      <c r="G214" s="7" t="s">
        <v>33</v>
      </c>
      <c r="H214" s="96" t="s">
        <v>168</v>
      </c>
      <c r="I214" s="25"/>
      <c r="J214" s="25"/>
      <c r="K214" s="437" t="e">
        <f t="shared" si="5"/>
        <v>#DIV/0!</v>
      </c>
    </row>
    <row r="215" spans="1:11" ht="16.5" customHeight="1">
      <c r="A215" s="80" t="s">
        <v>59</v>
      </c>
      <c r="B215" s="181" t="s">
        <v>63</v>
      </c>
      <c r="C215" s="61" t="s">
        <v>10</v>
      </c>
      <c r="D215" s="19" t="s">
        <v>12</v>
      </c>
      <c r="E215" s="19" t="s">
        <v>58</v>
      </c>
      <c r="F215" s="19" t="s">
        <v>33</v>
      </c>
      <c r="G215" s="19" t="s">
        <v>33</v>
      </c>
      <c r="H215" s="138"/>
      <c r="I215" s="24">
        <f>I216+I219</f>
        <v>4305600</v>
      </c>
      <c r="J215" s="24">
        <f>J216+J219</f>
        <v>4199183.68</v>
      </c>
      <c r="K215" s="437">
        <f t="shared" si="5"/>
        <v>97.52842066146414</v>
      </c>
    </row>
    <row r="216" spans="1:11" ht="15" customHeight="1">
      <c r="A216" s="46" t="s">
        <v>169</v>
      </c>
      <c r="B216" s="181" t="s">
        <v>63</v>
      </c>
      <c r="C216" s="62" t="s">
        <v>10</v>
      </c>
      <c r="D216" s="41" t="s">
        <v>12</v>
      </c>
      <c r="E216" s="41" t="s">
        <v>58</v>
      </c>
      <c r="F216" s="41" t="s">
        <v>16</v>
      </c>
      <c r="G216" s="41" t="s">
        <v>33</v>
      </c>
      <c r="H216" s="98"/>
      <c r="I216" s="42">
        <f>SUM(I217:I218)</f>
        <v>2680328.61</v>
      </c>
      <c r="J216" s="42">
        <f>SUM(J217:J218)</f>
        <v>2578517.89</v>
      </c>
      <c r="K216" s="437">
        <f t="shared" si="5"/>
        <v>96.20155828579541</v>
      </c>
    </row>
    <row r="217" spans="1:11" ht="18.75">
      <c r="A217" s="78" t="s">
        <v>149</v>
      </c>
      <c r="B217" s="181" t="s">
        <v>63</v>
      </c>
      <c r="C217" s="63" t="s">
        <v>10</v>
      </c>
      <c r="D217" s="7" t="s">
        <v>12</v>
      </c>
      <c r="E217" s="7" t="s">
        <v>58</v>
      </c>
      <c r="F217" s="7" t="s">
        <v>16</v>
      </c>
      <c r="G217" s="7" t="s">
        <v>33</v>
      </c>
      <c r="H217" s="96" t="s">
        <v>81</v>
      </c>
      <c r="I217" s="25">
        <f>2680328.61-I218</f>
        <v>1455237.2799999998</v>
      </c>
      <c r="J217" s="25">
        <f>2578517.89-J218</f>
        <v>1431220.4300000002</v>
      </c>
      <c r="K217" s="437"/>
    </row>
    <row r="218" spans="1:11" ht="18.75">
      <c r="A218" s="204" t="s">
        <v>200</v>
      </c>
      <c r="B218" s="181" t="s">
        <v>63</v>
      </c>
      <c r="C218" s="63" t="s">
        <v>10</v>
      </c>
      <c r="D218" s="7" t="s">
        <v>12</v>
      </c>
      <c r="E218" s="7" t="s">
        <v>58</v>
      </c>
      <c r="F218" s="7" t="s">
        <v>16</v>
      </c>
      <c r="G218" s="7" t="s">
        <v>33</v>
      </c>
      <c r="H218" s="96" t="s">
        <v>185</v>
      </c>
      <c r="I218" s="25">
        <v>1225091.33</v>
      </c>
      <c r="J218" s="25">
        <v>1147297.46</v>
      </c>
      <c r="K218" s="437">
        <f t="shared" si="5"/>
        <v>93.6499534283701</v>
      </c>
    </row>
    <row r="219" spans="1:11" ht="18.75">
      <c r="A219" s="46" t="s">
        <v>150</v>
      </c>
      <c r="B219" s="181" t="s">
        <v>63</v>
      </c>
      <c r="C219" s="62" t="s">
        <v>10</v>
      </c>
      <c r="D219" s="41" t="s">
        <v>12</v>
      </c>
      <c r="E219" s="41" t="s">
        <v>58</v>
      </c>
      <c r="F219" s="41" t="s">
        <v>10</v>
      </c>
      <c r="G219" s="41" t="s">
        <v>33</v>
      </c>
      <c r="H219" s="98"/>
      <c r="I219" s="42">
        <f>I220+I221</f>
        <v>1625271.39</v>
      </c>
      <c r="J219" s="42">
        <f>J220+J221</f>
        <v>1620665.79</v>
      </c>
      <c r="K219" s="437">
        <f t="shared" si="5"/>
        <v>99.7166257876477</v>
      </c>
    </row>
    <row r="220" spans="1:11" ht="18.75">
      <c r="A220" s="78" t="s">
        <v>149</v>
      </c>
      <c r="B220" s="181" t="s">
        <v>63</v>
      </c>
      <c r="C220" s="63" t="s">
        <v>10</v>
      </c>
      <c r="D220" s="7" t="s">
        <v>12</v>
      </c>
      <c r="E220" s="7" t="s">
        <v>58</v>
      </c>
      <c r="F220" s="7" t="s">
        <v>10</v>
      </c>
      <c r="G220" s="7" t="s">
        <v>33</v>
      </c>
      <c r="H220" s="96" t="s">
        <v>81</v>
      </c>
      <c r="I220" s="25">
        <f>1625271.39-I221</f>
        <v>907602.9999999999</v>
      </c>
      <c r="J220" s="25">
        <f>1620665.79-J221</f>
        <v>902997.4</v>
      </c>
      <c r="K220" s="437">
        <f t="shared" si="5"/>
        <v>99.49255346225169</v>
      </c>
    </row>
    <row r="221" spans="1:11" ht="18.75">
      <c r="A221" s="204" t="s">
        <v>200</v>
      </c>
      <c r="B221" s="181" t="s">
        <v>63</v>
      </c>
      <c r="C221" s="63" t="s">
        <v>10</v>
      </c>
      <c r="D221" s="7" t="s">
        <v>12</v>
      </c>
      <c r="E221" s="7" t="s">
        <v>58</v>
      </c>
      <c r="F221" s="7" t="s">
        <v>10</v>
      </c>
      <c r="G221" s="7" t="s">
        <v>33</v>
      </c>
      <c r="H221" s="96" t="s">
        <v>185</v>
      </c>
      <c r="I221" s="25">
        <v>717668.39</v>
      </c>
      <c r="J221" s="25">
        <v>717668.39</v>
      </c>
      <c r="K221" s="437">
        <f>J221/I221*100</f>
        <v>100</v>
      </c>
    </row>
    <row r="222" spans="1:11" ht="18.75">
      <c r="A222" s="77" t="s">
        <v>136</v>
      </c>
      <c r="B222" s="182" t="s">
        <v>63</v>
      </c>
      <c r="C222" s="66" t="s">
        <v>11</v>
      </c>
      <c r="D222" s="16"/>
      <c r="E222" s="16"/>
      <c r="F222" s="16"/>
      <c r="G222" s="16"/>
      <c r="H222" s="140"/>
      <c r="I222" s="27">
        <f>I223+I260</f>
        <v>10911735.5</v>
      </c>
      <c r="J222" s="27">
        <f>J223+J260</f>
        <v>10473338.96</v>
      </c>
      <c r="K222" s="437">
        <f t="shared" si="5"/>
        <v>95.9823390147241</v>
      </c>
    </row>
    <row r="223" spans="1:11" ht="18.75">
      <c r="A223" s="39" t="s">
        <v>47</v>
      </c>
      <c r="B223" s="181" t="s">
        <v>63</v>
      </c>
      <c r="C223" s="55" t="s">
        <v>11</v>
      </c>
      <c r="D223" s="6" t="s">
        <v>8</v>
      </c>
      <c r="E223" s="6"/>
      <c r="F223" s="6"/>
      <c r="G223" s="6"/>
      <c r="H223" s="131"/>
      <c r="I223" s="28">
        <f>I224+I226+I231+I232+I243+I244+I251+I246+I249</f>
        <v>9328414.629999999</v>
      </c>
      <c r="J223" s="28">
        <f>J224+J226+J231+J232+J243+J244+J251+J246+J249</f>
        <v>8997743.25</v>
      </c>
      <c r="K223" s="437">
        <f t="shared" si="5"/>
        <v>96.4552242463948</v>
      </c>
    </row>
    <row r="224" spans="1:11" ht="18.75">
      <c r="A224" s="71" t="s">
        <v>196</v>
      </c>
      <c r="B224" s="181" t="s">
        <v>63</v>
      </c>
      <c r="C224" s="230" t="s">
        <v>11</v>
      </c>
      <c r="D224" s="231" t="s">
        <v>8</v>
      </c>
      <c r="E224" s="231" t="s">
        <v>32</v>
      </c>
      <c r="F224" s="231" t="s">
        <v>8</v>
      </c>
      <c r="G224" s="231" t="s">
        <v>33</v>
      </c>
      <c r="H224" s="232"/>
      <c r="I224" s="233">
        <f>I225</f>
        <v>56000</v>
      </c>
      <c r="J224" s="233">
        <f>J225</f>
        <v>56000</v>
      </c>
      <c r="K224" s="437">
        <f t="shared" si="5"/>
        <v>100</v>
      </c>
    </row>
    <row r="225" spans="1:11" ht="18.75">
      <c r="A225" s="204" t="s">
        <v>153</v>
      </c>
      <c r="B225" s="181" t="s">
        <v>63</v>
      </c>
      <c r="C225" s="199" t="s">
        <v>11</v>
      </c>
      <c r="D225" s="200" t="s">
        <v>8</v>
      </c>
      <c r="E225" s="200" t="s">
        <v>32</v>
      </c>
      <c r="F225" s="200" t="s">
        <v>8</v>
      </c>
      <c r="G225" s="200" t="s">
        <v>33</v>
      </c>
      <c r="H225" s="201" t="s">
        <v>31</v>
      </c>
      <c r="I225" s="202">
        <v>56000</v>
      </c>
      <c r="J225" s="202">
        <v>56000</v>
      </c>
      <c r="K225" s="437">
        <f aca="true" t="shared" si="6" ref="K225:K294">J225/I225*100</f>
        <v>100</v>
      </c>
    </row>
    <row r="226" spans="1:11" ht="25.5">
      <c r="A226" s="452" t="s">
        <v>533</v>
      </c>
      <c r="B226" s="181" t="s">
        <v>63</v>
      </c>
      <c r="C226" s="89" t="s">
        <v>11</v>
      </c>
      <c r="D226" s="12" t="s">
        <v>8</v>
      </c>
      <c r="E226" s="115" t="s">
        <v>534</v>
      </c>
      <c r="F226" s="115" t="s">
        <v>33</v>
      </c>
      <c r="G226" s="115" t="s">
        <v>33</v>
      </c>
      <c r="H226" s="135"/>
      <c r="I226" s="24">
        <f>I227</f>
        <v>51200</v>
      </c>
      <c r="J226" s="24">
        <f>J227</f>
        <v>51200</v>
      </c>
      <c r="K226" s="437">
        <f t="shared" si="6"/>
        <v>100</v>
      </c>
    </row>
    <row r="227" spans="1:11" ht="25.5">
      <c r="A227" s="453" t="s">
        <v>535</v>
      </c>
      <c r="B227" s="181" t="s">
        <v>63</v>
      </c>
      <c r="C227" s="90" t="s">
        <v>11</v>
      </c>
      <c r="D227" s="41" t="s">
        <v>8</v>
      </c>
      <c r="E227" s="41" t="s">
        <v>534</v>
      </c>
      <c r="F227" s="41" t="s">
        <v>16</v>
      </c>
      <c r="G227" s="41" t="s">
        <v>33</v>
      </c>
      <c r="H227" s="98"/>
      <c r="I227" s="42">
        <f>I228+I229</f>
        <v>51200</v>
      </c>
      <c r="J227" s="42">
        <f>J228+J229</f>
        <v>51200</v>
      </c>
      <c r="K227" s="437">
        <f t="shared" si="6"/>
        <v>100</v>
      </c>
    </row>
    <row r="228" spans="1:11" ht="18.75">
      <c r="A228" s="204" t="s">
        <v>153</v>
      </c>
      <c r="B228" s="181" t="s">
        <v>63</v>
      </c>
      <c r="C228" s="52" t="s">
        <v>11</v>
      </c>
      <c r="D228" s="7" t="s">
        <v>8</v>
      </c>
      <c r="E228" s="117" t="s">
        <v>534</v>
      </c>
      <c r="F228" s="117" t="s">
        <v>16</v>
      </c>
      <c r="G228" s="117" t="s">
        <v>33</v>
      </c>
      <c r="H228" s="7" t="s">
        <v>31</v>
      </c>
      <c r="I228" s="202">
        <v>34000</v>
      </c>
      <c r="J228" s="202">
        <v>34000</v>
      </c>
      <c r="K228" s="437">
        <f t="shared" si="6"/>
        <v>100</v>
      </c>
    </row>
    <row r="229" spans="1:11" ht="16.5" customHeight="1">
      <c r="A229" s="15" t="s">
        <v>105</v>
      </c>
      <c r="B229" s="181" t="s">
        <v>63</v>
      </c>
      <c r="C229" s="52" t="s">
        <v>11</v>
      </c>
      <c r="D229" s="7" t="s">
        <v>8</v>
      </c>
      <c r="E229" s="117" t="s">
        <v>534</v>
      </c>
      <c r="F229" s="117" t="s">
        <v>16</v>
      </c>
      <c r="G229" s="117" t="s">
        <v>33</v>
      </c>
      <c r="H229" s="7" t="s">
        <v>107</v>
      </c>
      <c r="I229" s="202">
        <f>51200-I228</f>
        <v>17200</v>
      </c>
      <c r="J229" s="202">
        <f>51200-J228</f>
        <v>17200</v>
      </c>
      <c r="K229" s="437">
        <f t="shared" si="6"/>
        <v>100</v>
      </c>
    </row>
    <row r="230" spans="1:11" ht="25.5">
      <c r="A230" s="203" t="s">
        <v>556</v>
      </c>
      <c r="B230" s="181" t="s">
        <v>63</v>
      </c>
      <c r="C230" s="53" t="s">
        <v>11</v>
      </c>
      <c r="D230" s="41" t="s">
        <v>8</v>
      </c>
      <c r="E230" s="41" t="s">
        <v>534</v>
      </c>
      <c r="F230" s="41" t="s">
        <v>360</v>
      </c>
      <c r="G230" s="41" t="s">
        <v>8</v>
      </c>
      <c r="H230" s="98"/>
      <c r="I230" s="42">
        <f>I231</f>
        <v>100000</v>
      </c>
      <c r="J230" s="42">
        <f>J231</f>
        <v>100000</v>
      </c>
      <c r="K230" s="437">
        <f t="shared" si="6"/>
        <v>100</v>
      </c>
    </row>
    <row r="231" spans="1:11" ht="18.75">
      <c r="A231" s="15" t="s">
        <v>105</v>
      </c>
      <c r="B231" s="181" t="s">
        <v>63</v>
      </c>
      <c r="C231" s="52" t="s">
        <v>11</v>
      </c>
      <c r="D231" s="7" t="s">
        <v>8</v>
      </c>
      <c r="E231" s="117" t="s">
        <v>534</v>
      </c>
      <c r="F231" s="117" t="s">
        <v>360</v>
      </c>
      <c r="G231" s="117" t="s">
        <v>8</v>
      </c>
      <c r="H231" s="96" t="s">
        <v>107</v>
      </c>
      <c r="I231" s="202">
        <v>100000</v>
      </c>
      <c r="J231" s="202">
        <v>100000</v>
      </c>
      <c r="K231" s="437">
        <f t="shared" si="6"/>
        <v>100</v>
      </c>
    </row>
    <row r="232" spans="1:11" ht="18.75">
      <c r="A232" s="38" t="s">
        <v>48</v>
      </c>
      <c r="B232" s="181" t="s">
        <v>63</v>
      </c>
      <c r="C232" s="50" t="s">
        <v>11</v>
      </c>
      <c r="D232" s="12" t="s">
        <v>8</v>
      </c>
      <c r="E232" s="12" t="s">
        <v>49</v>
      </c>
      <c r="F232" s="12" t="s">
        <v>33</v>
      </c>
      <c r="G232" s="12" t="s">
        <v>33</v>
      </c>
      <c r="H232" s="97"/>
      <c r="I232" s="24">
        <f>I233+I235+I237+I239</f>
        <v>6029169.63</v>
      </c>
      <c r="J232" s="24">
        <f>J233+J235+J237+J239</f>
        <v>5823501.100000001</v>
      </c>
      <c r="K232" s="437">
        <f t="shared" si="6"/>
        <v>96.5887751942385</v>
      </c>
    </row>
    <row r="233" spans="1:11" ht="29.25" customHeight="1">
      <c r="A233" s="203" t="s">
        <v>170</v>
      </c>
      <c r="B233" s="181" t="s">
        <v>63</v>
      </c>
      <c r="C233" s="53" t="s">
        <v>11</v>
      </c>
      <c r="D233" s="41" t="s">
        <v>8</v>
      </c>
      <c r="E233" s="41" t="s">
        <v>49</v>
      </c>
      <c r="F233" s="41" t="s">
        <v>33</v>
      </c>
      <c r="G233" s="41" t="s">
        <v>8</v>
      </c>
      <c r="H233" s="98"/>
      <c r="I233" s="42">
        <f>I234</f>
        <v>500</v>
      </c>
      <c r="J233" s="42">
        <f>J234</f>
        <v>0</v>
      </c>
      <c r="K233" s="437">
        <f>J233/I233*100</f>
        <v>0</v>
      </c>
    </row>
    <row r="234" spans="1:11" ht="18.75">
      <c r="A234" s="15" t="s">
        <v>153</v>
      </c>
      <c r="B234" s="181" t="s">
        <v>63</v>
      </c>
      <c r="C234" s="52" t="s">
        <v>11</v>
      </c>
      <c r="D234" s="7" t="s">
        <v>8</v>
      </c>
      <c r="E234" s="7" t="s">
        <v>49</v>
      </c>
      <c r="F234" s="7" t="s">
        <v>33</v>
      </c>
      <c r="G234" s="7" t="s">
        <v>8</v>
      </c>
      <c r="H234" s="96" t="s">
        <v>31</v>
      </c>
      <c r="I234" s="25">
        <v>500</v>
      </c>
      <c r="J234" s="25"/>
      <c r="K234" s="437"/>
    </row>
    <row r="235" spans="1:11" ht="16.5" customHeight="1">
      <c r="A235" s="203" t="s">
        <v>171</v>
      </c>
      <c r="B235" s="181" t="s">
        <v>63</v>
      </c>
      <c r="C235" s="195" t="s">
        <v>11</v>
      </c>
      <c r="D235" s="196" t="s">
        <v>8</v>
      </c>
      <c r="E235" s="196" t="s">
        <v>49</v>
      </c>
      <c r="F235" s="196" t="s">
        <v>33</v>
      </c>
      <c r="G235" s="196" t="s">
        <v>16</v>
      </c>
      <c r="H235" s="197"/>
      <c r="I235" s="198">
        <f>I236</f>
        <v>500000</v>
      </c>
      <c r="J235" s="198">
        <f>J236</f>
        <v>441242.02</v>
      </c>
      <c r="K235" s="437">
        <f t="shared" si="6"/>
        <v>88.24840400000001</v>
      </c>
    </row>
    <row r="236" spans="1:11" ht="18.75">
      <c r="A236" s="204" t="s">
        <v>153</v>
      </c>
      <c r="B236" s="181" t="s">
        <v>63</v>
      </c>
      <c r="C236" s="199" t="s">
        <v>11</v>
      </c>
      <c r="D236" s="200" t="s">
        <v>8</v>
      </c>
      <c r="E236" s="200" t="s">
        <v>49</v>
      </c>
      <c r="F236" s="200" t="s">
        <v>33</v>
      </c>
      <c r="G236" s="200" t="s">
        <v>16</v>
      </c>
      <c r="H236" s="201" t="s">
        <v>31</v>
      </c>
      <c r="I236" s="202">
        <v>500000</v>
      </c>
      <c r="J236" s="202">
        <v>441242.02</v>
      </c>
      <c r="K236" s="437">
        <f t="shared" si="6"/>
        <v>88.24840400000001</v>
      </c>
    </row>
    <row r="237" spans="1:11" ht="25.5">
      <c r="A237" s="46" t="s">
        <v>145</v>
      </c>
      <c r="B237" s="181" t="s">
        <v>63</v>
      </c>
      <c r="C237" s="53" t="s">
        <v>11</v>
      </c>
      <c r="D237" s="41" t="s">
        <v>8</v>
      </c>
      <c r="E237" s="41" t="s">
        <v>49</v>
      </c>
      <c r="F237" s="41" t="s">
        <v>9</v>
      </c>
      <c r="G237" s="41" t="s">
        <v>19</v>
      </c>
      <c r="H237" s="98"/>
      <c r="I237" s="42">
        <f>I238</f>
        <v>280000</v>
      </c>
      <c r="J237" s="42">
        <f>J238</f>
        <v>192901.57</v>
      </c>
      <c r="K237" s="437">
        <f t="shared" si="6"/>
        <v>68.89341785714286</v>
      </c>
    </row>
    <row r="238" spans="1:11" ht="56.25" customHeight="1">
      <c r="A238" s="15" t="s">
        <v>153</v>
      </c>
      <c r="B238" s="181" t="s">
        <v>63</v>
      </c>
      <c r="C238" s="52" t="s">
        <v>11</v>
      </c>
      <c r="D238" s="7" t="s">
        <v>8</v>
      </c>
      <c r="E238" s="7" t="s">
        <v>49</v>
      </c>
      <c r="F238" s="7" t="s">
        <v>9</v>
      </c>
      <c r="G238" s="7" t="s">
        <v>19</v>
      </c>
      <c r="H238" s="96" t="s">
        <v>31</v>
      </c>
      <c r="I238" s="25">
        <v>280000</v>
      </c>
      <c r="J238" s="25">
        <v>192901.57</v>
      </c>
      <c r="K238" s="437">
        <f t="shared" si="6"/>
        <v>68.89341785714286</v>
      </c>
    </row>
    <row r="239" spans="1:11" ht="18.75">
      <c r="A239" s="46" t="s">
        <v>2</v>
      </c>
      <c r="B239" s="181" t="s">
        <v>63</v>
      </c>
      <c r="C239" s="53" t="s">
        <v>11</v>
      </c>
      <c r="D239" s="41" t="s">
        <v>8</v>
      </c>
      <c r="E239" s="41" t="s">
        <v>49</v>
      </c>
      <c r="F239" s="41" t="s">
        <v>71</v>
      </c>
      <c r="G239" s="41" t="s">
        <v>33</v>
      </c>
      <c r="H239" s="98"/>
      <c r="I239" s="42">
        <f>I240+I241</f>
        <v>5248669.63</v>
      </c>
      <c r="J239" s="42">
        <f>J240+J241</f>
        <v>5189357.510000001</v>
      </c>
      <c r="K239" s="437">
        <f t="shared" si="6"/>
        <v>98.86995897663311</v>
      </c>
    </row>
    <row r="240" spans="1:11" ht="18.75">
      <c r="A240" s="15" t="s">
        <v>153</v>
      </c>
      <c r="B240" s="181" t="s">
        <v>63</v>
      </c>
      <c r="C240" s="65" t="s">
        <v>11</v>
      </c>
      <c r="D240" s="7" t="s">
        <v>8</v>
      </c>
      <c r="E240" s="7" t="s">
        <v>49</v>
      </c>
      <c r="F240" s="7" t="s">
        <v>71</v>
      </c>
      <c r="G240" s="7" t="s">
        <v>33</v>
      </c>
      <c r="H240" s="96" t="s">
        <v>31</v>
      </c>
      <c r="I240" s="25">
        <v>4998734.13</v>
      </c>
      <c r="J240" s="25">
        <v>4950539.53</v>
      </c>
      <c r="K240" s="437">
        <f t="shared" si="6"/>
        <v>99.0358639058085</v>
      </c>
    </row>
    <row r="241" spans="1:11" ht="18.75">
      <c r="A241" s="15" t="s">
        <v>111</v>
      </c>
      <c r="B241" s="181" t="s">
        <v>63</v>
      </c>
      <c r="C241" s="65" t="s">
        <v>11</v>
      </c>
      <c r="D241" s="7" t="s">
        <v>8</v>
      </c>
      <c r="E241" s="7" t="s">
        <v>49</v>
      </c>
      <c r="F241" s="7" t="s">
        <v>71</v>
      </c>
      <c r="G241" s="7" t="s">
        <v>8</v>
      </c>
      <c r="H241" s="96" t="s">
        <v>31</v>
      </c>
      <c r="I241" s="25">
        <v>249935.5</v>
      </c>
      <c r="J241" s="25">
        <v>238817.98</v>
      </c>
      <c r="K241" s="437">
        <f t="shared" si="6"/>
        <v>95.55184437584897</v>
      </c>
    </row>
    <row r="242" spans="1:11" ht="18.75">
      <c r="A242" s="203" t="s">
        <v>554</v>
      </c>
      <c r="B242" s="181" t="s">
        <v>63</v>
      </c>
      <c r="C242" s="195" t="s">
        <v>11</v>
      </c>
      <c r="D242" s="196" t="s">
        <v>8</v>
      </c>
      <c r="E242" s="196" t="s">
        <v>212</v>
      </c>
      <c r="F242" s="196" t="s">
        <v>19</v>
      </c>
      <c r="G242" s="196" t="s">
        <v>33</v>
      </c>
      <c r="H242" s="197"/>
      <c r="I242" s="198">
        <f>I243</f>
        <v>93700</v>
      </c>
      <c r="J242" s="198">
        <f>J243</f>
        <v>93700</v>
      </c>
      <c r="K242" s="437">
        <f t="shared" si="6"/>
        <v>100</v>
      </c>
    </row>
    <row r="243" spans="1:11" ht="18.75">
      <c r="A243" s="204" t="s">
        <v>117</v>
      </c>
      <c r="B243" s="181" t="s">
        <v>63</v>
      </c>
      <c r="C243" s="238" t="s">
        <v>11</v>
      </c>
      <c r="D243" s="200" t="s">
        <v>8</v>
      </c>
      <c r="E243" s="200" t="s">
        <v>212</v>
      </c>
      <c r="F243" s="200" t="s">
        <v>19</v>
      </c>
      <c r="G243" s="200" t="s">
        <v>33</v>
      </c>
      <c r="H243" s="201" t="s">
        <v>116</v>
      </c>
      <c r="I243" s="202">
        <v>93700</v>
      </c>
      <c r="J243" s="202">
        <v>93700</v>
      </c>
      <c r="K243" s="437">
        <f t="shared" si="6"/>
        <v>100</v>
      </c>
    </row>
    <row r="244" spans="1:11" ht="25.5">
      <c r="A244" s="203" t="s">
        <v>205</v>
      </c>
      <c r="B244" s="181" t="s">
        <v>63</v>
      </c>
      <c r="C244" s="195" t="s">
        <v>11</v>
      </c>
      <c r="D244" s="196" t="s">
        <v>8</v>
      </c>
      <c r="E244" s="196" t="s">
        <v>151</v>
      </c>
      <c r="F244" s="196" t="s">
        <v>19</v>
      </c>
      <c r="G244" s="196" t="s">
        <v>33</v>
      </c>
      <c r="H244" s="197"/>
      <c r="I244" s="198">
        <f>I245</f>
        <v>32900</v>
      </c>
      <c r="J244" s="198">
        <f>J245</f>
        <v>32900</v>
      </c>
      <c r="K244" s="437">
        <f t="shared" si="6"/>
        <v>100</v>
      </c>
    </row>
    <row r="245" spans="1:11" ht="18.75">
      <c r="A245" s="204" t="s">
        <v>203</v>
      </c>
      <c r="B245" s="181" t="s">
        <v>63</v>
      </c>
      <c r="C245" s="238" t="s">
        <v>11</v>
      </c>
      <c r="D245" s="200" t="s">
        <v>8</v>
      </c>
      <c r="E245" s="200" t="s">
        <v>151</v>
      </c>
      <c r="F245" s="200" t="s">
        <v>19</v>
      </c>
      <c r="G245" s="200" t="s">
        <v>33</v>
      </c>
      <c r="H245" s="201" t="s">
        <v>31</v>
      </c>
      <c r="I245" s="202">
        <v>32900</v>
      </c>
      <c r="J245" s="202">
        <v>32900</v>
      </c>
      <c r="K245" s="437">
        <f t="shared" si="6"/>
        <v>100</v>
      </c>
    </row>
    <row r="246" spans="1:11" ht="38.25">
      <c r="A246" s="188" t="s">
        <v>195</v>
      </c>
      <c r="B246" s="181" t="s">
        <v>63</v>
      </c>
      <c r="C246" s="93" t="s">
        <v>11</v>
      </c>
      <c r="D246" s="41" t="s">
        <v>8</v>
      </c>
      <c r="E246" s="41" t="s">
        <v>151</v>
      </c>
      <c r="F246" s="41" t="s">
        <v>103</v>
      </c>
      <c r="G246" s="41" t="s">
        <v>33</v>
      </c>
      <c r="H246" s="98"/>
      <c r="I246" s="42">
        <f>I248+I247</f>
        <v>2460000</v>
      </c>
      <c r="J246" s="42">
        <f>J248+J247</f>
        <v>2460000</v>
      </c>
      <c r="K246" s="437">
        <f t="shared" si="6"/>
        <v>100</v>
      </c>
    </row>
    <row r="247" spans="1:11" ht="18.75">
      <c r="A247" s="15" t="s">
        <v>153</v>
      </c>
      <c r="B247" s="181" t="s">
        <v>63</v>
      </c>
      <c r="C247" s="63" t="s">
        <v>11</v>
      </c>
      <c r="D247" s="7" t="s">
        <v>8</v>
      </c>
      <c r="E247" s="7" t="s">
        <v>151</v>
      </c>
      <c r="F247" s="7" t="s">
        <v>103</v>
      </c>
      <c r="G247" s="7" t="s">
        <v>33</v>
      </c>
      <c r="H247" s="96" t="s">
        <v>31</v>
      </c>
      <c r="I247" s="25">
        <v>1308200</v>
      </c>
      <c r="J247" s="25">
        <v>1308200</v>
      </c>
      <c r="K247" s="437">
        <f t="shared" si="6"/>
        <v>100</v>
      </c>
    </row>
    <row r="248" spans="1:11" ht="18.75">
      <c r="A248" s="15" t="s">
        <v>105</v>
      </c>
      <c r="B248" s="181" t="s">
        <v>63</v>
      </c>
      <c r="C248" s="91" t="s">
        <v>11</v>
      </c>
      <c r="D248" s="7" t="s">
        <v>8</v>
      </c>
      <c r="E248" s="7" t="s">
        <v>151</v>
      </c>
      <c r="F248" s="7" t="s">
        <v>103</v>
      </c>
      <c r="G248" s="7" t="s">
        <v>33</v>
      </c>
      <c r="H248" s="96" t="s">
        <v>107</v>
      </c>
      <c r="I248" s="25">
        <f>1213000-61200</f>
        <v>1151800</v>
      </c>
      <c r="J248" s="25">
        <f>1213000-61200</f>
        <v>1151800</v>
      </c>
      <c r="K248" s="437">
        <f t="shared" si="6"/>
        <v>100</v>
      </c>
    </row>
    <row r="249" spans="1:11" ht="51">
      <c r="A249" s="188" t="s">
        <v>224</v>
      </c>
      <c r="B249" s="181" t="s">
        <v>63</v>
      </c>
      <c r="C249" s="90" t="s">
        <v>11</v>
      </c>
      <c r="D249" s="41" t="s">
        <v>8</v>
      </c>
      <c r="E249" s="41" t="s">
        <v>151</v>
      </c>
      <c r="F249" s="41" t="s">
        <v>103</v>
      </c>
      <c r="G249" s="41" t="s">
        <v>8</v>
      </c>
      <c r="H249" s="98"/>
      <c r="I249" s="42">
        <f>I250</f>
        <v>145356</v>
      </c>
      <c r="J249" s="42">
        <f>J250</f>
        <v>63000</v>
      </c>
      <c r="K249" s="437">
        <f t="shared" si="6"/>
        <v>43.34186411293651</v>
      </c>
    </row>
    <row r="250" spans="1:11" ht="18.75">
      <c r="A250" s="15" t="s">
        <v>153</v>
      </c>
      <c r="B250" s="181" t="s">
        <v>63</v>
      </c>
      <c r="C250" s="91" t="s">
        <v>11</v>
      </c>
      <c r="D250" s="7" t="s">
        <v>8</v>
      </c>
      <c r="E250" s="7" t="s">
        <v>151</v>
      </c>
      <c r="F250" s="7" t="s">
        <v>103</v>
      </c>
      <c r="G250" s="7" t="s">
        <v>8</v>
      </c>
      <c r="H250" s="96" t="s">
        <v>31</v>
      </c>
      <c r="I250" s="25">
        <v>145356</v>
      </c>
      <c r="J250" s="25">
        <v>63000</v>
      </c>
      <c r="K250" s="437">
        <f t="shared" si="6"/>
        <v>43.34186411293651</v>
      </c>
    </row>
    <row r="251" spans="1:11" ht="18.75">
      <c r="A251" s="80" t="s">
        <v>59</v>
      </c>
      <c r="B251" s="181" t="s">
        <v>63</v>
      </c>
      <c r="C251" s="61" t="s">
        <v>11</v>
      </c>
      <c r="D251" s="19" t="s">
        <v>8</v>
      </c>
      <c r="E251" s="19" t="s">
        <v>58</v>
      </c>
      <c r="F251" s="19" t="s">
        <v>33</v>
      </c>
      <c r="G251" s="19" t="s">
        <v>33</v>
      </c>
      <c r="H251" s="138"/>
      <c r="I251" s="24">
        <f>I252+I254+I256+I258</f>
        <v>360089</v>
      </c>
      <c r="J251" s="24">
        <f>J252+J254+J256+J258</f>
        <v>317442.14999999997</v>
      </c>
      <c r="K251" s="437">
        <f t="shared" si="6"/>
        <v>88.15658073420737</v>
      </c>
    </row>
    <row r="252" spans="1:11" ht="18.75">
      <c r="A252" s="46" t="s">
        <v>123</v>
      </c>
      <c r="B252" s="181" t="s">
        <v>63</v>
      </c>
      <c r="C252" s="62" t="s">
        <v>11</v>
      </c>
      <c r="D252" s="41" t="s">
        <v>8</v>
      </c>
      <c r="E252" s="41" t="s">
        <v>58</v>
      </c>
      <c r="F252" s="41" t="s">
        <v>9</v>
      </c>
      <c r="G252" s="41" t="s">
        <v>33</v>
      </c>
      <c r="H252" s="98"/>
      <c r="I252" s="42">
        <f>I253</f>
        <v>4000</v>
      </c>
      <c r="J252" s="42">
        <f>J253</f>
        <v>3910</v>
      </c>
      <c r="K252" s="437">
        <f t="shared" si="6"/>
        <v>97.75</v>
      </c>
    </row>
    <row r="253" spans="1:11" ht="18.75">
      <c r="A253" s="15" t="s">
        <v>117</v>
      </c>
      <c r="B253" s="181" t="s">
        <v>63</v>
      </c>
      <c r="C253" s="63" t="s">
        <v>11</v>
      </c>
      <c r="D253" s="7" t="s">
        <v>8</v>
      </c>
      <c r="E253" s="7" t="s">
        <v>58</v>
      </c>
      <c r="F253" s="7" t="s">
        <v>9</v>
      </c>
      <c r="G253" s="7" t="s">
        <v>33</v>
      </c>
      <c r="H253" s="96" t="s">
        <v>116</v>
      </c>
      <c r="I253" s="25">
        <v>4000</v>
      </c>
      <c r="J253" s="25">
        <v>3910</v>
      </c>
      <c r="K253" s="437">
        <f t="shared" si="6"/>
        <v>97.75</v>
      </c>
    </row>
    <row r="254" spans="1:11" ht="18.75">
      <c r="A254" s="46" t="s">
        <v>150</v>
      </c>
      <c r="B254" s="181" t="s">
        <v>63</v>
      </c>
      <c r="C254" s="62" t="s">
        <v>11</v>
      </c>
      <c r="D254" s="41" t="s">
        <v>8</v>
      </c>
      <c r="E254" s="41" t="s">
        <v>58</v>
      </c>
      <c r="F254" s="41" t="s">
        <v>10</v>
      </c>
      <c r="G254" s="41" t="s">
        <v>33</v>
      </c>
      <c r="H254" s="98"/>
      <c r="I254" s="42">
        <f>I255</f>
        <v>99640</v>
      </c>
      <c r="J254" s="42">
        <f>J255</f>
        <v>99500</v>
      </c>
      <c r="K254" s="437">
        <f t="shared" si="6"/>
        <v>99.85949417904456</v>
      </c>
    </row>
    <row r="255" spans="1:11" ht="18.75">
      <c r="A255" s="15" t="s">
        <v>117</v>
      </c>
      <c r="B255" s="181" t="s">
        <v>63</v>
      </c>
      <c r="C255" s="63" t="s">
        <v>11</v>
      </c>
      <c r="D255" s="7" t="s">
        <v>8</v>
      </c>
      <c r="E255" s="7" t="s">
        <v>58</v>
      </c>
      <c r="F255" s="7" t="s">
        <v>10</v>
      </c>
      <c r="G255" s="7" t="s">
        <v>33</v>
      </c>
      <c r="H255" s="96" t="s">
        <v>116</v>
      </c>
      <c r="I255" s="25">
        <f>174140-74500</f>
        <v>99640</v>
      </c>
      <c r="J255" s="25">
        <v>99500</v>
      </c>
      <c r="K255" s="437">
        <f t="shared" si="6"/>
        <v>99.85949417904456</v>
      </c>
    </row>
    <row r="256" spans="1:11" ht="18.75">
      <c r="A256" s="46" t="s">
        <v>172</v>
      </c>
      <c r="B256" s="181" t="s">
        <v>63</v>
      </c>
      <c r="C256" s="62" t="s">
        <v>11</v>
      </c>
      <c r="D256" s="41" t="s">
        <v>8</v>
      </c>
      <c r="E256" s="41" t="s">
        <v>58</v>
      </c>
      <c r="F256" s="41" t="s">
        <v>11</v>
      </c>
      <c r="G256" s="41" t="s">
        <v>33</v>
      </c>
      <c r="H256" s="98"/>
      <c r="I256" s="42">
        <f>I257</f>
        <v>129000</v>
      </c>
      <c r="J256" s="42">
        <f>J257</f>
        <v>124221.61</v>
      </c>
      <c r="K256" s="437">
        <f t="shared" si="6"/>
        <v>96.29582170542635</v>
      </c>
    </row>
    <row r="257" spans="1:11" ht="18.75">
      <c r="A257" s="15" t="s">
        <v>117</v>
      </c>
      <c r="B257" s="181" t="s">
        <v>63</v>
      </c>
      <c r="C257" s="63" t="s">
        <v>11</v>
      </c>
      <c r="D257" s="7" t="s">
        <v>8</v>
      </c>
      <c r="E257" s="7" t="s">
        <v>58</v>
      </c>
      <c r="F257" s="7" t="s">
        <v>11</v>
      </c>
      <c r="G257" s="7" t="s">
        <v>33</v>
      </c>
      <c r="H257" s="96" t="s">
        <v>116</v>
      </c>
      <c r="I257" s="25">
        <f>319000-190000</f>
        <v>129000</v>
      </c>
      <c r="J257" s="25">
        <v>124221.61</v>
      </c>
      <c r="K257" s="437">
        <f t="shared" si="6"/>
        <v>96.29582170542635</v>
      </c>
    </row>
    <row r="258" spans="1:11" ht="18.75">
      <c r="A258" s="46" t="s">
        <v>173</v>
      </c>
      <c r="B258" s="181" t="s">
        <v>63</v>
      </c>
      <c r="C258" s="62" t="s">
        <v>11</v>
      </c>
      <c r="D258" s="41" t="s">
        <v>8</v>
      </c>
      <c r="E258" s="41" t="s">
        <v>58</v>
      </c>
      <c r="F258" s="41" t="s">
        <v>12</v>
      </c>
      <c r="G258" s="41" t="s">
        <v>33</v>
      </c>
      <c r="H258" s="98"/>
      <c r="I258" s="42">
        <f>I259</f>
        <v>127449</v>
      </c>
      <c r="J258" s="42">
        <f>J259</f>
        <v>89810.54</v>
      </c>
      <c r="K258" s="437">
        <f t="shared" si="6"/>
        <v>70.46782634622475</v>
      </c>
    </row>
    <row r="259" spans="1:11" ht="18.75">
      <c r="A259" s="15" t="s">
        <v>117</v>
      </c>
      <c r="B259" s="181" t="s">
        <v>63</v>
      </c>
      <c r="C259" s="63" t="s">
        <v>11</v>
      </c>
      <c r="D259" s="7" t="s">
        <v>8</v>
      </c>
      <c r="E259" s="7" t="s">
        <v>58</v>
      </c>
      <c r="F259" s="7" t="s">
        <v>12</v>
      </c>
      <c r="G259" s="7" t="s">
        <v>33</v>
      </c>
      <c r="H259" s="96" t="s">
        <v>116</v>
      </c>
      <c r="I259" s="25">
        <f>427449-300000</f>
        <v>127449</v>
      </c>
      <c r="J259" s="25">
        <v>89810.54</v>
      </c>
      <c r="K259" s="437">
        <f t="shared" si="6"/>
        <v>70.46782634622475</v>
      </c>
    </row>
    <row r="260" spans="1:11" ht="18.75">
      <c r="A260" s="39" t="s">
        <v>536</v>
      </c>
      <c r="B260" s="181" t="s">
        <v>63</v>
      </c>
      <c r="C260" s="55" t="s">
        <v>11</v>
      </c>
      <c r="D260" s="6" t="s">
        <v>16</v>
      </c>
      <c r="E260" s="6"/>
      <c r="F260" s="6"/>
      <c r="G260" s="6"/>
      <c r="H260" s="131"/>
      <c r="I260" s="28">
        <f>I261+I264+I266+I269</f>
        <v>1583320.87</v>
      </c>
      <c r="J260" s="28">
        <f>J261+J264+J266+J269</f>
        <v>1475595.71</v>
      </c>
      <c r="K260" s="437">
        <f t="shared" si="6"/>
        <v>93.196252127972</v>
      </c>
    </row>
    <row r="261" spans="1:11" ht="18.75">
      <c r="A261" s="71" t="s">
        <v>537</v>
      </c>
      <c r="B261" s="181" t="s">
        <v>63</v>
      </c>
      <c r="C261" s="230" t="s">
        <v>11</v>
      </c>
      <c r="D261" s="231" t="s">
        <v>16</v>
      </c>
      <c r="E261" s="231" t="s">
        <v>534</v>
      </c>
      <c r="F261" s="231" t="s">
        <v>71</v>
      </c>
      <c r="G261" s="231" t="s">
        <v>33</v>
      </c>
      <c r="H261" s="232"/>
      <c r="I261" s="233">
        <f>I262+I263</f>
        <v>1303909.87</v>
      </c>
      <c r="J261" s="233">
        <f>J262+J263</f>
        <v>1196184.71</v>
      </c>
      <c r="K261" s="437">
        <f t="shared" si="6"/>
        <v>91.73829706496507</v>
      </c>
    </row>
    <row r="262" spans="1:11" ht="18.75">
      <c r="A262" s="204" t="s">
        <v>153</v>
      </c>
      <c r="B262" s="181" t="s">
        <v>63</v>
      </c>
      <c r="C262" s="199" t="s">
        <v>11</v>
      </c>
      <c r="D262" s="200" t="s">
        <v>16</v>
      </c>
      <c r="E262" s="200" t="s">
        <v>534</v>
      </c>
      <c r="F262" s="200" t="s">
        <v>71</v>
      </c>
      <c r="G262" s="200" t="s">
        <v>33</v>
      </c>
      <c r="H262" s="201" t="s">
        <v>31</v>
      </c>
      <c r="I262" s="202">
        <v>1113909.87</v>
      </c>
      <c r="J262" s="202">
        <v>1025202.99</v>
      </c>
      <c r="K262" s="437">
        <f t="shared" si="6"/>
        <v>92.03644007571276</v>
      </c>
    </row>
    <row r="263" spans="1:11" ht="18.75">
      <c r="A263" s="15" t="s">
        <v>154</v>
      </c>
      <c r="B263" s="181" t="s">
        <v>63</v>
      </c>
      <c r="C263" s="63" t="s">
        <v>11</v>
      </c>
      <c r="D263" s="7" t="s">
        <v>16</v>
      </c>
      <c r="E263" s="7" t="s">
        <v>534</v>
      </c>
      <c r="F263" s="7" t="s">
        <v>71</v>
      </c>
      <c r="G263" s="7" t="s">
        <v>8</v>
      </c>
      <c r="H263" s="96" t="s">
        <v>31</v>
      </c>
      <c r="I263" s="25">
        <v>190000</v>
      </c>
      <c r="J263" s="25">
        <v>170981.72</v>
      </c>
      <c r="K263" s="437">
        <f t="shared" si="6"/>
        <v>89.99037894736843</v>
      </c>
    </row>
    <row r="264" spans="1:11" ht="38.25">
      <c r="A264" s="188" t="s">
        <v>195</v>
      </c>
      <c r="B264" s="181" t="s">
        <v>63</v>
      </c>
      <c r="C264" s="93" t="s">
        <v>11</v>
      </c>
      <c r="D264" s="41" t="s">
        <v>16</v>
      </c>
      <c r="E264" s="41" t="s">
        <v>151</v>
      </c>
      <c r="F264" s="41" t="s">
        <v>103</v>
      </c>
      <c r="G264" s="41" t="s">
        <v>33</v>
      </c>
      <c r="H264" s="98"/>
      <c r="I264" s="42">
        <f>I265</f>
        <v>117000</v>
      </c>
      <c r="J264" s="42">
        <f>J265</f>
        <v>117000</v>
      </c>
      <c r="K264" s="437">
        <f t="shared" si="6"/>
        <v>100</v>
      </c>
    </row>
    <row r="265" spans="1:11" ht="18.75">
      <c r="A265" s="15" t="s">
        <v>153</v>
      </c>
      <c r="B265" s="181" t="s">
        <v>63</v>
      </c>
      <c r="C265" s="63" t="s">
        <v>11</v>
      </c>
      <c r="D265" s="7" t="s">
        <v>16</v>
      </c>
      <c r="E265" s="7" t="s">
        <v>151</v>
      </c>
      <c r="F265" s="7" t="s">
        <v>103</v>
      </c>
      <c r="G265" s="7" t="s">
        <v>33</v>
      </c>
      <c r="H265" s="96" t="s">
        <v>31</v>
      </c>
      <c r="I265" s="25">
        <v>117000</v>
      </c>
      <c r="J265" s="25">
        <v>117000</v>
      </c>
      <c r="K265" s="437">
        <f t="shared" si="6"/>
        <v>100</v>
      </c>
    </row>
    <row r="266" spans="1:11" ht="51">
      <c r="A266" s="188" t="s">
        <v>224</v>
      </c>
      <c r="B266" s="181" t="s">
        <v>63</v>
      </c>
      <c r="C266" s="90" t="s">
        <v>11</v>
      </c>
      <c r="D266" s="41" t="s">
        <v>16</v>
      </c>
      <c r="E266" s="41" t="s">
        <v>151</v>
      </c>
      <c r="F266" s="41" t="s">
        <v>103</v>
      </c>
      <c r="G266" s="41" t="s">
        <v>8</v>
      </c>
      <c r="H266" s="98"/>
      <c r="I266" s="42">
        <f>I267</f>
        <v>13000</v>
      </c>
      <c r="J266" s="42">
        <f>J267</f>
        <v>13000</v>
      </c>
      <c r="K266" s="437">
        <f t="shared" si="6"/>
        <v>100</v>
      </c>
    </row>
    <row r="267" spans="1:11" ht="18.75">
      <c r="A267" s="15" t="s">
        <v>153</v>
      </c>
      <c r="B267" s="181" t="s">
        <v>63</v>
      </c>
      <c r="C267" s="91" t="s">
        <v>11</v>
      </c>
      <c r="D267" s="7" t="s">
        <v>16</v>
      </c>
      <c r="E267" s="7" t="s">
        <v>151</v>
      </c>
      <c r="F267" s="7" t="s">
        <v>103</v>
      </c>
      <c r="G267" s="7" t="s">
        <v>8</v>
      </c>
      <c r="H267" s="96" t="s">
        <v>31</v>
      </c>
      <c r="I267" s="25">
        <v>13000</v>
      </c>
      <c r="J267" s="25">
        <v>13000</v>
      </c>
      <c r="K267" s="437">
        <f t="shared" si="6"/>
        <v>100</v>
      </c>
    </row>
    <row r="268" spans="1:11" ht="18.75">
      <c r="A268" s="46" t="s">
        <v>123</v>
      </c>
      <c r="B268" s="181" t="s">
        <v>63</v>
      </c>
      <c r="C268" s="62" t="s">
        <v>11</v>
      </c>
      <c r="D268" s="41" t="s">
        <v>16</v>
      </c>
      <c r="E268" s="41" t="s">
        <v>58</v>
      </c>
      <c r="F268" s="41" t="s">
        <v>9</v>
      </c>
      <c r="G268" s="41" t="s">
        <v>33</v>
      </c>
      <c r="H268" s="98"/>
      <c r="I268" s="42">
        <f>I269</f>
        <v>149411</v>
      </c>
      <c r="J268" s="42">
        <f>J269</f>
        <v>149411</v>
      </c>
      <c r="K268" s="437">
        <f t="shared" si="6"/>
        <v>100</v>
      </c>
    </row>
    <row r="269" spans="1:11" ht="18.75">
      <c r="A269" s="15" t="s">
        <v>117</v>
      </c>
      <c r="B269" s="181" t="s">
        <v>63</v>
      </c>
      <c r="C269" s="63" t="s">
        <v>11</v>
      </c>
      <c r="D269" s="7" t="s">
        <v>16</v>
      </c>
      <c r="E269" s="7" t="s">
        <v>58</v>
      </c>
      <c r="F269" s="7" t="s">
        <v>9</v>
      </c>
      <c r="G269" s="7" t="s">
        <v>33</v>
      </c>
      <c r="H269" s="96" t="s">
        <v>116</v>
      </c>
      <c r="I269" s="25">
        <v>149411</v>
      </c>
      <c r="J269" s="25">
        <v>149411</v>
      </c>
      <c r="K269" s="437">
        <f t="shared" si="6"/>
        <v>100</v>
      </c>
    </row>
    <row r="270" spans="1:11" ht="18.75">
      <c r="A270" s="454" t="s">
        <v>538</v>
      </c>
      <c r="B270" s="182" t="s">
        <v>63</v>
      </c>
      <c r="C270" s="455" t="s">
        <v>12</v>
      </c>
      <c r="D270" s="456"/>
      <c r="E270" s="456"/>
      <c r="F270" s="456"/>
      <c r="G270" s="456"/>
      <c r="H270" s="457"/>
      <c r="I270" s="458">
        <f aca="true" t="shared" si="7" ref="I270:J272">I271</f>
        <v>1000000</v>
      </c>
      <c r="J270" s="458">
        <f t="shared" si="7"/>
        <v>1000000</v>
      </c>
      <c r="K270" s="437">
        <f t="shared" si="6"/>
        <v>100</v>
      </c>
    </row>
    <row r="271" spans="1:11" ht="18.75">
      <c r="A271" s="447" t="s">
        <v>539</v>
      </c>
      <c r="B271" s="181" t="s">
        <v>63</v>
      </c>
      <c r="C271" s="448" t="s">
        <v>12</v>
      </c>
      <c r="D271" s="271" t="s">
        <v>8</v>
      </c>
      <c r="E271" s="271"/>
      <c r="F271" s="271"/>
      <c r="G271" s="449"/>
      <c r="H271" s="459"/>
      <c r="I271" s="218">
        <f t="shared" si="7"/>
        <v>1000000</v>
      </c>
      <c r="J271" s="218">
        <f t="shared" si="7"/>
        <v>1000000</v>
      </c>
      <c r="K271" s="437">
        <f>J271/I271*100</f>
        <v>100</v>
      </c>
    </row>
    <row r="272" spans="1:11" ht="18.75">
      <c r="A272" s="203" t="s">
        <v>2</v>
      </c>
      <c r="B272" s="181" t="s">
        <v>63</v>
      </c>
      <c r="C272" s="460" t="s">
        <v>12</v>
      </c>
      <c r="D272" s="461" t="s">
        <v>8</v>
      </c>
      <c r="E272" s="461" t="s">
        <v>540</v>
      </c>
      <c r="F272" s="461" t="s">
        <v>71</v>
      </c>
      <c r="G272" s="462" t="s">
        <v>33</v>
      </c>
      <c r="H272" s="463"/>
      <c r="I272" s="198">
        <f t="shared" si="7"/>
        <v>1000000</v>
      </c>
      <c r="J272" s="198">
        <f t="shared" si="7"/>
        <v>1000000</v>
      </c>
      <c r="K272" s="437">
        <f>J272/I272*100</f>
        <v>100</v>
      </c>
    </row>
    <row r="273" spans="1:11" ht="18.75">
      <c r="A273" s="204" t="s">
        <v>186</v>
      </c>
      <c r="B273" s="181" t="s">
        <v>63</v>
      </c>
      <c r="C273" s="464" t="s">
        <v>12</v>
      </c>
      <c r="D273" s="465" t="s">
        <v>8</v>
      </c>
      <c r="E273" s="465" t="s">
        <v>540</v>
      </c>
      <c r="F273" s="465" t="s">
        <v>71</v>
      </c>
      <c r="G273" s="466" t="s">
        <v>33</v>
      </c>
      <c r="H273" s="467" t="s">
        <v>185</v>
      </c>
      <c r="I273" s="202">
        <v>1000000</v>
      </c>
      <c r="J273" s="202">
        <v>1000000</v>
      </c>
      <c r="K273" s="437">
        <f t="shared" si="6"/>
        <v>100</v>
      </c>
    </row>
    <row r="274" spans="1:11" ht="18.75">
      <c r="A274" s="77" t="s">
        <v>20</v>
      </c>
      <c r="B274" s="182" t="s">
        <v>63</v>
      </c>
      <c r="C274" s="66" t="s">
        <v>14</v>
      </c>
      <c r="D274" s="16"/>
      <c r="E274" s="16"/>
      <c r="F274" s="16"/>
      <c r="G274" s="16"/>
      <c r="H274" s="140"/>
      <c r="I274" s="29">
        <f>I275+I279+I285+I307</f>
        <v>74866336.58</v>
      </c>
      <c r="J274" s="29">
        <f>J275+J279+J285+J307</f>
        <v>67290178.52</v>
      </c>
      <c r="K274" s="437">
        <f t="shared" si="6"/>
        <v>89.88042101952679</v>
      </c>
    </row>
    <row r="275" spans="1:11" ht="18.75">
      <c r="A275" s="37" t="s">
        <v>25</v>
      </c>
      <c r="B275" s="181" t="s">
        <v>63</v>
      </c>
      <c r="C275" s="51" t="s">
        <v>14</v>
      </c>
      <c r="D275" s="6" t="s">
        <v>8</v>
      </c>
      <c r="E275" s="6"/>
      <c r="F275" s="6"/>
      <c r="G275" s="6"/>
      <c r="H275" s="131"/>
      <c r="I275" s="26">
        <f aca="true" t="shared" si="8" ref="I275:J277">I276</f>
        <v>3531000</v>
      </c>
      <c r="J275" s="26">
        <f t="shared" si="8"/>
        <v>3281991.17</v>
      </c>
      <c r="K275" s="437">
        <f t="shared" si="6"/>
        <v>92.94792325120362</v>
      </c>
    </row>
    <row r="276" spans="1:11" ht="18.75">
      <c r="A276" s="38" t="s">
        <v>72</v>
      </c>
      <c r="B276" s="181" t="s">
        <v>63</v>
      </c>
      <c r="C276" s="50" t="s">
        <v>14</v>
      </c>
      <c r="D276" s="12" t="s">
        <v>8</v>
      </c>
      <c r="E276" s="12" t="s">
        <v>73</v>
      </c>
      <c r="F276" s="12" t="s">
        <v>33</v>
      </c>
      <c r="G276" s="12" t="s">
        <v>33</v>
      </c>
      <c r="H276" s="97"/>
      <c r="I276" s="24">
        <f t="shared" si="8"/>
        <v>3531000</v>
      </c>
      <c r="J276" s="24">
        <f t="shared" si="8"/>
        <v>3281991.17</v>
      </c>
      <c r="K276" s="437">
        <f t="shared" si="6"/>
        <v>92.94792325120362</v>
      </c>
    </row>
    <row r="277" spans="1:11" ht="18.75">
      <c r="A277" s="46" t="s">
        <v>56</v>
      </c>
      <c r="B277" s="181" t="s">
        <v>63</v>
      </c>
      <c r="C277" s="53" t="s">
        <v>14</v>
      </c>
      <c r="D277" s="41" t="s">
        <v>8</v>
      </c>
      <c r="E277" s="41" t="s">
        <v>73</v>
      </c>
      <c r="F277" s="41" t="s">
        <v>74</v>
      </c>
      <c r="G277" s="41" t="s">
        <v>8</v>
      </c>
      <c r="H277" s="98"/>
      <c r="I277" s="42">
        <f t="shared" si="8"/>
        <v>3531000</v>
      </c>
      <c r="J277" s="42">
        <f t="shared" si="8"/>
        <v>3281991.17</v>
      </c>
      <c r="K277" s="437">
        <f t="shared" si="6"/>
        <v>92.94792325120362</v>
      </c>
    </row>
    <row r="278" spans="1:11" ht="18.75">
      <c r="A278" s="15" t="s">
        <v>75</v>
      </c>
      <c r="B278" s="181" t="s">
        <v>63</v>
      </c>
      <c r="C278" s="65" t="s">
        <v>14</v>
      </c>
      <c r="D278" s="7" t="s">
        <v>8</v>
      </c>
      <c r="E278" s="7" t="s">
        <v>73</v>
      </c>
      <c r="F278" s="7" t="s">
        <v>74</v>
      </c>
      <c r="G278" s="7" t="s">
        <v>8</v>
      </c>
      <c r="H278" s="96" t="s">
        <v>32</v>
      </c>
      <c r="I278" s="25">
        <f>4400000-869000</f>
        <v>3531000</v>
      </c>
      <c r="J278" s="25">
        <v>3281991.17</v>
      </c>
      <c r="K278" s="437">
        <f t="shared" si="6"/>
        <v>92.94792325120362</v>
      </c>
    </row>
    <row r="279" spans="1:11" ht="18.75">
      <c r="A279" s="37" t="s">
        <v>21</v>
      </c>
      <c r="B279" s="181" t="s">
        <v>63</v>
      </c>
      <c r="C279" s="51" t="s">
        <v>14</v>
      </c>
      <c r="D279" s="6" t="s">
        <v>16</v>
      </c>
      <c r="E279" s="7"/>
      <c r="F279" s="7"/>
      <c r="G279" s="7"/>
      <c r="H279" s="96"/>
      <c r="I279" s="26">
        <f>I280+I282</f>
        <v>22333000</v>
      </c>
      <c r="J279" s="26">
        <f>J280+J282</f>
        <v>22273271.12</v>
      </c>
      <c r="K279" s="437">
        <f t="shared" si="6"/>
        <v>99.73255326198898</v>
      </c>
    </row>
    <row r="280" spans="1:11" ht="48">
      <c r="A280" s="192" t="s">
        <v>91</v>
      </c>
      <c r="B280" s="181" t="s">
        <v>63</v>
      </c>
      <c r="C280" s="89" t="s">
        <v>14</v>
      </c>
      <c r="D280" s="85" t="s">
        <v>16</v>
      </c>
      <c r="E280" s="12" t="s">
        <v>152</v>
      </c>
      <c r="F280" s="12" t="s">
        <v>18</v>
      </c>
      <c r="G280" s="97" t="s">
        <v>33</v>
      </c>
      <c r="H280" s="97"/>
      <c r="I280" s="24">
        <f>I281</f>
        <v>21576000</v>
      </c>
      <c r="J280" s="24">
        <f>J281</f>
        <v>21576000</v>
      </c>
      <c r="K280" s="437">
        <f t="shared" si="6"/>
        <v>100</v>
      </c>
    </row>
    <row r="281" spans="1:11" ht="25.5">
      <c r="A281" s="78" t="s">
        <v>157</v>
      </c>
      <c r="B281" s="181" t="s">
        <v>63</v>
      </c>
      <c r="C281" s="52" t="s">
        <v>14</v>
      </c>
      <c r="D281" s="7" t="s">
        <v>16</v>
      </c>
      <c r="E281" s="7" t="s">
        <v>152</v>
      </c>
      <c r="F281" s="7" t="s">
        <v>18</v>
      </c>
      <c r="G281" s="7" t="s">
        <v>33</v>
      </c>
      <c r="H281" s="96" t="s">
        <v>158</v>
      </c>
      <c r="I281" s="25">
        <v>21576000</v>
      </c>
      <c r="J281" s="25">
        <v>21576000</v>
      </c>
      <c r="K281" s="437">
        <f t="shared" si="6"/>
        <v>100</v>
      </c>
    </row>
    <row r="282" spans="1:11" ht="18.75">
      <c r="A282" s="22" t="s">
        <v>69</v>
      </c>
      <c r="B282" s="181" t="s">
        <v>63</v>
      </c>
      <c r="C282" s="54" t="s">
        <v>14</v>
      </c>
      <c r="D282" s="23" t="s">
        <v>16</v>
      </c>
      <c r="E282" s="23" t="s">
        <v>54</v>
      </c>
      <c r="F282" s="23" t="s">
        <v>33</v>
      </c>
      <c r="G282" s="23" t="s">
        <v>33</v>
      </c>
      <c r="H282" s="146"/>
      <c r="I282" s="24">
        <f>I283</f>
        <v>757000</v>
      </c>
      <c r="J282" s="24">
        <f>J283</f>
        <v>697271.12</v>
      </c>
      <c r="K282" s="437">
        <f t="shared" si="6"/>
        <v>92.10979128137384</v>
      </c>
    </row>
    <row r="283" spans="1:11" ht="114.75">
      <c r="A283" s="152" t="s">
        <v>76</v>
      </c>
      <c r="B283" s="181" t="s">
        <v>63</v>
      </c>
      <c r="C283" s="53" t="s">
        <v>14</v>
      </c>
      <c r="D283" s="41" t="s">
        <v>16</v>
      </c>
      <c r="E283" s="41" t="s">
        <v>54</v>
      </c>
      <c r="F283" s="41" t="s">
        <v>159</v>
      </c>
      <c r="G283" s="41" t="s">
        <v>9</v>
      </c>
      <c r="H283" s="98"/>
      <c r="I283" s="42">
        <f>I284</f>
        <v>757000</v>
      </c>
      <c r="J283" s="42">
        <f>J284</f>
        <v>697271.12</v>
      </c>
      <c r="K283" s="437">
        <f t="shared" si="6"/>
        <v>92.10979128137384</v>
      </c>
    </row>
    <row r="284" spans="1:11" ht="25.5">
      <c r="A284" s="15" t="s">
        <v>160</v>
      </c>
      <c r="B284" s="181" t="s">
        <v>63</v>
      </c>
      <c r="C284" s="52" t="s">
        <v>14</v>
      </c>
      <c r="D284" s="7" t="s">
        <v>16</v>
      </c>
      <c r="E284" s="7" t="s">
        <v>54</v>
      </c>
      <c r="F284" s="7" t="s">
        <v>159</v>
      </c>
      <c r="G284" s="7" t="s">
        <v>9</v>
      </c>
      <c r="H284" s="96" t="s">
        <v>174</v>
      </c>
      <c r="I284" s="30">
        <v>757000</v>
      </c>
      <c r="J284" s="30">
        <v>697271.12</v>
      </c>
      <c r="K284" s="437">
        <f t="shared" si="6"/>
        <v>92.10979128137384</v>
      </c>
    </row>
    <row r="285" spans="1:11" ht="18.75">
      <c r="A285" s="37" t="s">
        <v>22</v>
      </c>
      <c r="B285" s="181" t="s">
        <v>63</v>
      </c>
      <c r="C285" s="51" t="s">
        <v>14</v>
      </c>
      <c r="D285" s="6" t="s">
        <v>18</v>
      </c>
      <c r="E285" s="7"/>
      <c r="F285" s="7"/>
      <c r="G285" s="7"/>
      <c r="H285" s="96"/>
      <c r="I285" s="26">
        <f>I286+I290+I293+I297+I302</f>
        <v>16064355.92</v>
      </c>
      <c r="J285" s="26">
        <f>J286+J290+J293+J297+J302</f>
        <v>10507938.07</v>
      </c>
      <c r="K285" s="437">
        <f t="shared" si="6"/>
        <v>65.41151181117506</v>
      </c>
    </row>
    <row r="286" spans="1:11" ht="18.75">
      <c r="A286" s="38" t="s">
        <v>206</v>
      </c>
      <c r="B286" s="181" t="s">
        <v>63</v>
      </c>
      <c r="C286" s="239" t="s">
        <v>14</v>
      </c>
      <c r="D286" s="240" t="s">
        <v>18</v>
      </c>
      <c r="E286" s="240" t="s">
        <v>207</v>
      </c>
      <c r="F286" s="240" t="s">
        <v>33</v>
      </c>
      <c r="G286" s="12" t="s">
        <v>33</v>
      </c>
      <c r="H286" s="97"/>
      <c r="I286" s="24">
        <f>I287</f>
        <v>2735446.12</v>
      </c>
      <c r="J286" s="24">
        <f>J287</f>
        <v>1569147.96</v>
      </c>
      <c r="K286" s="437">
        <f t="shared" si="6"/>
        <v>57.36351187937125</v>
      </c>
    </row>
    <row r="287" spans="1:11" ht="18.75">
      <c r="A287" s="46" t="s">
        <v>208</v>
      </c>
      <c r="B287" s="181" t="s">
        <v>63</v>
      </c>
      <c r="C287" s="241" t="s">
        <v>14</v>
      </c>
      <c r="D287" s="242" t="s">
        <v>18</v>
      </c>
      <c r="E287" s="242" t="s">
        <v>207</v>
      </c>
      <c r="F287" s="242" t="s">
        <v>209</v>
      </c>
      <c r="G287" s="41" t="s">
        <v>210</v>
      </c>
      <c r="H287" s="98"/>
      <c r="I287" s="42">
        <f>I288+I289</f>
        <v>2735446.12</v>
      </c>
      <c r="J287" s="42">
        <f>J288+J289</f>
        <v>1569147.96</v>
      </c>
      <c r="K287" s="437">
        <f t="shared" si="6"/>
        <v>57.36351187937125</v>
      </c>
    </row>
    <row r="288" spans="1:11" ht="18.75">
      <c r="A288" s="15" t="s">
        <v>101</v>
      </c>
      <c r="B288" s="181" t="s">
        <v>63</v>
      </c>
      <c r="C288" s="243" t="s">
        <v>14</v>
      </c>
      <c r="D288" s="244" t="s">
        <v>18</v>
      </c>
      <c r="E288" s="244" t="s">
        <v>207</v>
      </c>
      <c r="F288" s="244" t="s">
        <v>209</v>
      </c>
      <c r="G288" s="7" t="s">
        <v>210</v>
      </c>
      <c r="H288" s="96" t="s">
        <v>32</v>
      </c>
      <c r="I288" s="25">
        <f>2735446.12-I289</f>
        <v>2122141.12</v>
      </c>
      <c r="J288" s="25">
        <f>1569147.96-J289</f>
        <v>955842.96</v>
      </c>
      <c r="K288" s="437">
        <f t="shared" si="6"/>
        <v>45.04144191881075</v>
      </c>
    </row>
    <row r="289" spans="1:11" ht="18.75">
      <c r="A289" s="72" t="s">
        <v>204</v>
      </c>
      <c r="B289" s="181" t="s">
        <v>63</v>
      </c>
      <c r="C289" s="243" t="s">
        <v>14</v>
      </c>
      <c r="D289" s="244" t="s">
        <v>18</v>
      </c>
      <c r="E289" s="244" t="s">
        <v>207</v>
      </c>
      <c r="F289" s="244" t="s">
        <v>209</v>
      </c>
      <c r="G289" s="7" t="s">
        <v>210</v>
      </c>
      <c r="H289" s="96" t="s">
        <v>32</v>
      </c>
      <c r="I289" s="25">
        <v>613305</v>
      </c>
      <c r="J289" s="25">
        <v>613305</v>
      </c>
      <c r="K289" s="437">
        <f t="shared" si="6"/>
        <v>100</v>
      </c>
    </row>
    <row r="290" spans="1:11" ht="18.75">
      <c r="A290" s="22" t="s">
        <v>69</v>
      </c>
      <c r="B290" s="181" t="s">
        <v>63</v>
      </c>
      <c r="C290" s="54" t="s">
        <v>14</v>
      </c>
      <c r="D290" s="23" t="s">
        <v>18</v>
      </c>
      <c r="E290" s="23" t="s">
        <v>54</v>
      </c>
      <c r="F290" s="23" t="s">
        <v>33</v>
      </c>
      <c r="G290" s="23" t="s">
        <v>33</v>
      </c>
      <c r="H290" s="146"/>
      <c r="I290" s="24">
        <f>I291</f>
        <v>29545</v>
      </c>
      <c r="J290" s="24">
        <f>J291</f>
        <v>23236.8</v>
      </c>
      <c r="K290" s="437">
        <f t="shared" si="6"/>
        <v>78.64884075139618</v>
      </c>
    </row>
    <row r="291" spans="1:11" ht="18.75">
      <c r="A291" s="46" t="s">
        <v>86</v>
      </c>
      <c r="B291" s="181" t="s">
        <v>63</v>
      </c>
      <c r="C291" s="53" t="s">
        <v>14</v>
      </c>
      <c r="D291" s="41" t="s">
        <v>18</v>
      </c>
      <c r="E291" s="41" t="s">
        <v>54</v>
      </c>
      <c r="F291" s="41" t="s">
        <v>155</v>
      </c>
      <c r="G291" s="41" t="s">
        <v>16</v>
      </c>
      <c r="H291" s="98"/>
      <c r="I291" s="42">
        <f>I292</f>
        <v>29545</v>
      </c>
      <c r="J291" s="42">
        <f>J292</f>
        <v>23236.8</v>
      </c>
      <c r="K291" s="437">
        <f>J291/I291*100</f>
        <v>78.64884075139618</v>
      </c>
    </row>
    <row r="292" spans="1:11" ht="18.75">
      <c r="A292" s="15" t="s">
        <v>101</v>
      </c>
      <c r="B292" s="181" t="s">
        <v>63</v>
      </c>
      <c r="C292" s="52" t="s">
        <v>14</v>
      </c>
      <c r="D292" s="7" t="s">
        <v>18</v>
      </c>
      <c r="E292" s="7" t="s">
        <v>54</v>
      </c>
      <c r="F292" s="7" t="s">
        <v>155</v>
      </c>
      <c r="G292" s="7" t="s">
        <v>16</v>
      </c>
      <c r="H292" s="96" t="s">
        <v>32</v>
      </c>
      <c r="I292" s="30">
        <v>29545</v>
      </c>
      <c r="J292" s="30">
        <v>23236.8</v>
      </c>
      <c r="K292" s="437">
        <f t="shared" si="6"/>
        <v>78.64884075139618</v>
      </c>
    </row>
    <row r="293" spans="1:11" ht="18.75">
      <c r="A293" s="38" t="s">
        <v>211</v>
      </c>
      <c r="B293" s="181" t="s">
        <v>63</v>
      </c>
      <c r="C293" s="239" t="s">
        <v>14</v>
      </c>
      <c r="D293" s="240" t="s">
        <v>18</v>
      </c>
      <c r="E293" s="240" t="s">
        <v>212</v>
      </c>
      <c r="F293" s="240" t="s">
        <v>33</v>
      </c>
      <c r="G293" s="12" t="s">
        <v>33</v>
      </c>
      <c r="H293" s="97"/>
      <c r="I293" s="24">
        <f>I294</f>
        <v>6492970.41</v>
      </c>
      <c r="J293" s="24">
        <f>J294</f>
        <v>3473495.9</v>
      </c>
      <c r="K293" s="437">
        <f t="shared" si="6"/>
        <v>53.49625334269773</v>
      </c>
    </row>
    <row r="294" spans="1:11" ht="18.75">
      <c r="A294" s="46" t="s">
        <v>213</v>
      </c>
      <c r="B294" s="181" t="s">
        <v>63</v>
      </c>
      <c r="C294" s="245" t="s">
        <v>14</v>
      </c>
      <c r="D294" s="242" t="s">
        <v>18</v>
      </c>
      <c r="E294" s="242" t="s">
        <v>212</v>
      </c>
      <c r="F294" s="242" t="s">
        <v>60</v>
      </c>
      <c r="G294" s="41" t="s">
        <v>8</v>
      </c>
      <c r="H294" s="98"/>
      <c r="I294" s="42">
        <f>I295+I296</f>
        <v>6492970.41</v>
      </c>
      <c r="J294" s="42">
        <f>J295+J296</f>
        <v>3473495.9</v>
      </c>
      <c r="K294" s="437">
        <f t="shared" si="6"/>
        <v>53.49625334269773</v>
      </c>
    </row>
    <row r="295" spans="1:11" ht="18.75">
      <c r="A295" s="190" t="s">
        <v>204</v>
      </c>
      <c r="B295" s="181" t="s">
        <v>63</v>
      </c>
      <c r="C295" s="246" t="s">
        <v>14</v>
      </c>
      <c r="D295" s="244" t="s">
        <v>18</v>
      </c>
      <c r="E295" s="244" t="s">
        <v>212</v>
      </c>
      <c r="F295" s="244" t="s">
        <v>60</v>
      </c>
      <c r="G295" s="7" t="s">
        <v>8</v>
      </c>
      <c r="H295" s="96" t="s">
        <v>32</v>
      </c>
      <c r="I295" s="25">
        <v>1245195</v>
      </c>
      <c r="J295" s="25">
        <v>1245195</v>
      </c>
      <c r="K295" s="437">
        <f aca="true" t="shared" si="9" ref="K295:K357">J295/I295*100</f>
        <v>100</v>
      </c>
    </row>
    <row r="296" spans="1:11" ht="18.75">
      <c r="A296" s="15" t="s">
        <v>101</v>
      </c>
      <c r="B296" s="181" t="s">
        <v>63</v>
      </c>
      <c r="C296" s="246" t="s">
        <v>14</v>
      </c>
      <c r="D296" s="244" t="s">
        <v>18</v>
      </c>
      <c r="E296" s="244" t="s">
        <v>212</v>
      </c>
      <c r="F296" s="244" t="s">
        <v>60</v>
      </c>
      <c r="G296" s="7" t="s">
        <v>8</v>
      </c>
      <c r="H296" s="96" t="s">
        <v>32</v>
      </c>
      <c r="I296" s="25">
        <f>6492970.41-I295</f>
        <v>5247775.41</v>
      </c>
      <c r="J296" s="25">
        <f>3473495.9-J295</f>
        <v>2228300.9</v>
      </c>
      <c r="K296" s="437">
        <f t="shared" si="9"/>
        <v>42.4618190739226</v>
      </c>
    </row>
    <row r="297" spans="1:11" ht="18.75">
      <c r="A297" s="38" t="s">
        <v>146</v>
      </c>
      <c r="B297" s="181" t="s">
        <v>63</v>
      </c>
      <c r="C297" s="50" t="s">
        <v>14</v>
      </c>
      <c r="D297" s="12" t="s">
        <v>18</v>
      </c>
      <c r="E297" s="12" t="s">
        <v>147</v>
      </c>
      <c r="F297" s="12" t="s">
        <v>33</v>
      </c>
      <c r="G297" s="12" t="s">
        <v>33</v>
      </c>
      <c r="H297" s="97"/>
      <c r="I297" s="24">
        <f>I298</f>
        <v>6060433.47</v>
      </c>
      <c r="J297" s="24">
        <f>J298</f>
        <v>4755903.09</v>
      </c>
      <c r="K297" s="437">
        <f t="shared" si="9"/>
        <v>78.47463574251563</v>
      </c>
    </row>
    <row r="298" spans="1:11" ht="25.5">
      <c r="A298" s="46" t="s">
        <v>148</v>
      </c>
      <c r="B298" s="181" t="s">
        <v>63</v>
      </c>
      <c r="C298" s="53" t="s">
        <v>14</v>
      </c>
      <c r="D298" s="41" t="s">
        <v>18</v>
      </c>
      <c r="E298" s="41" t="s">
        <v>147</v>
      </c>
      <c r="F298" s="41" t="s">
        <v>16</v>
      </c>
      <c r="G298" s="41" t="s">
        <v>33</v>
      </c>
      <c r="H298" s="98"/>
      <c r="I298" s="42">
        <f>I299+I300+I301</f>
        <v>6060433.47</v>
      </c>
      <c r="J298" s="42">
        <f>J299+J300+J301</f>
        <v>4755903.09</v>
      </c>
      <c r="K298" s="437">
        <f>J298/I298*100</f>
        <v>78.47463574251563</v>
      </c>
    </row>
    <row r="299" spans="1:11" ht="18.75">
      <c r="A299" s="190" t="s">
        <v>101</v>
      </c>
      <c r="B299" s="181" t="s">
        <v>63</v>
      </c>
      <c r="C299" s="65" t="s">
        <v>14</v>
      </c>
      <c r="D299" s="7" t="s">
        <v>18</v>
      </c>
      <c r="E299" s="7" t="s">
        <v>147</v>
      </c>
      <c r="F299" s="7" t="s">
        <v>16</v>
      </c>
      <c r="G299" s="7" t="s">
        <v>33</v>
      </c>
      <c r="H299" s="96" t="s">
        <v>32</v>
      </c>
      <c r="I299" s="25">
        <v>2842000</v>
      </c>
      <c r="J299" s="25">
        <f>4755903.09-J300-J301</f>
        <v>2013708.82</v>
      </c>
      <c r="K299" s="437">
        <f t="shared" si="9"/>
        <v>70.85534201266714</v>
      </c>
    </row>
    <row r="300" spans="1:11" ht="18.75">
      <c r="A300" s="15" t="s">
        <v>200</v>
      </c>
      <c r="B300" s="181" t="s">
        <v>63</v>
      </c>
      <c r="C300" s="65" t="s">
        <v>14</v>
      </c>
      <c r="D300" s="7" t="s">
        <v>18</v>
      </c>
      <c r="E300" s="7" t="s">
        <v>147</v>
      </c>
      <c r="F300" s="7" t="s">
        <v>16</v>
      </c>
      <c r="G300" s="7" t="s">
        <v>33</v>
      </c>
      <c r="H300" s="96" t="s">
        <v>185</v>
      </c>
      <c r="I300" s="25">
        <v>2958000</v>
      </c>
      <c r="J300" s="25">
        <v>2481760.8</v>
      </c>
      <c r="K300" s="437">
        <f t="shared" si="9"/>
        <v>83.89995943204868</v>
      </c>
    </row>
    <row r="301" spans="1:11" ht="18.75">
      <c r="A301" s="190" t="s">
        <v>204</v>
      </c>
      <c r="B301" s="181" t="s">
        <v>63</v>
      </c>
      <c r="C301" s="65" t="s">
        <v>14</v>
      </c>
      <c r="D301" s="7" t="s">
        <v>18</v>
      </c>
      <c r="E301" s="7" t="s">
        <v>147</v>
      </c>
      <c r="F301" s="7" t="s">
        <v>16</v>
      </c>
      <c r="G301" s="7" t="s">
        <v>33</v>
      </c>
      <c r="H301" s="96" t="s">
        <v>32</v>
      </c>
      <c r="I301" s="25">
        <v>260433.47</v>
      </c>
      <c r="J301" s="25">
        <v>260433.47</v>
      </c>
      <c r="K301" s="437">
        <f t="shared" si="9"/>
        <v>100</v>
      </c>
    </row>
    <row r="302" spans="1:11" ht="18.75">
      <c r="A302" s="80" t="s">
        <v>59</v>
      </c>
      <c r="B302" s="181" t="s">
        <v>63</v>
      </c>
      <c r="C302" s="61" t="s">
        <v>14</v>
      </c>
      <c r="D302" s="19" t="s">
        <v>18</v>
      </c>
      <c r="E302" s="19" t="s">
        <v>58</v>
      </c>
      <c r="F302" s="19" t="s">
        <v>33</v>
      </c>
      <c r="G302" s="19" t="s">
        <v>33</v>
      </c>
      <c r="H302" s="138"/>
      <c r="I302" s="24">
        <f>I303+I305</f>
        <v>745960.92</v>
      </c>
      <c r="J302" s="24">
        <f>J303+J305</f>
        <v>686154.3200000001</v>
      </c>
      <c r="K302" s="437">
        <f t="shared" si="9"/>
        <v>91.98260949112455</v>
      </c>
    </row>
    <row r="303" spans="1:11" ht="18.75">
      <c r="A303" s="46" t="s">
        <v>80</v>
      </c>
      <c r="B303" s="181" t="s">
        <v>63</v>
      </c>
      <c r="C303" s="67" t="s">
        <v>14</v>
      </c>
      <c r="D303" s="48" t="s">
        <v>18</v>
      </c>
      <c r="E303" s="48" t="s">
        <v>58</v>
      </c>
      <c r="F303" s="49" t="s">
        <v>15</v>
      </c>
      <c r="G303" s="49" t="s">
        <v>33</v>
      </c>
      <c r="H303" s="147"/>
      <c r="I303" s="42">
        <f>I304</f>
        <v>560000</v>
      </c>
      <c r="J303" s="42">
        <f>J304</f>
        <v>500193.4</v>
      </c>
      <c r="K303" s="437">
        <f t="shared" si="9"/>
        <v>89.32025</v>
      </c>
    </row>
    <row r="304" spans="1:11" ht="25.5">
      <c r="A304" s="15" t="s">
        <v>160</v>
      </c>
      <c r="B304" s="181" t="s">
        <v>63</v>
      </c>
      <c r="C304" s="52" t="s">
        <v>14</v>
      </c>
      <c r="D304" s="7" t="s">
        <v>18</v>
      </c>
      <c r="E304" s="7" t="s">
        <v>58</v>
      </c>
      <c r="F304" s="7" t="s">
        <v>15</v>
      </c>
      <c r="G304" s="7" t="s">
        <v>33</v>
      </c>
      <c r="H304" s="96" t="s">
        <v>174</v>
      </c>
      <c r="I304" s="113">
        <f>640000-80000</f>
        <v>560000</v>
      </c>
      <c r="J304" s="113">
        <v>500193.4</v>
      </c>
      <c r="K304" s="437">
        <f t="shared" si="9"/>
        <v>89.32025</v>
      </c>
    </row>
    <row r="305" spans="1:11" ht="18.75">
      <c r="A305" s="46" t="s">
        <v>182</v>
      </c>
      <c r="B305" s="181" t="s">
        <v>63</v>
      </c>
      <c r="C305" s="67" t="s">
        <v>14</v>
      </c>
      <c r="D305" s="48" t="s">
        <v>18</v>
      </c>
      <c r="E305" s="48" t="s">
        <v>58</v>
      </c>
      <c r="F305" s="49" t="s">
        <v>60</v>
      </c>
      <c r="G305" s="49" t="s">
        <v>33</v>
      </c>
      <c r="H305" s="147"/>
      <c r="I305" s="42">
        <f>I306</f>
        <v>185960.92</v>
      </c>
      <c r="J305" s="42">
        <f>J306</f>
        <v>185960.92</v>
      </c>
      <c r="K305" s="437">
        <f t="shared" si="9"/>
        <v>100</v>
      </c>
    </row>
    <row r="306" spans="1:11" ht="18.75">
      <c r="A306" s="112" t="s">
        <v>79</v>
      </c>
      <c r="B306" s="181" t="s">
        <v>63</v>
      </c>
      <c r="C306" s="52" t="s">
        <v>14</v>
      </c>
      <c r="D306" s="7" t="s">
        <v>18</v>
      </c>
      <c r="E306" s="7" t="s">
        <v>58</v>
      </c>
      <c r="F306" s="7" t="s">
        <v>60</v>
      </c>
      <c r="G306" s="7" t="s">
        <v>33</v>
      </c>
      <c r="H306" s="96" t="s">
        <v>87</v>
      </c>
      <c r="I306" s="113">
        <v>185960.92</v>
      </c>
      <c r="J306" s="113">
        <v>185960.92</v>
      </c>
      <c r="K306" s="437">
        <f t="shared" si="9"/>
        <v>100</v>
      </c>
    </row>
    <row r="307" spans="1:11" ht="18.75">
      <c r="A307" s="37" t="s">
        <v>124</v>
      </c>
      <c r="B307" s="181" t="s">
        <v>63</v>
      </c>
      <c r="C307" s="51" t="s">
        <v>14</v>
      </c>
      <c r="D307" s="6" t="s">
        <v>19</v>
      </c>
      <c r="E307" s="11"/>
      <c r="F307" s="11"/>
      <c r="G307" s="11"/>
      <c r="H307" s="149"/>
      <c r="I307" s="26">
        <f>I308+I311+I313+I317+I321</f>
        <v>32937980.66</v>
      </c>
      <c r="J307" s="26">
        <f>J308+J311+J313+J317+J321</f>
        <v>31226978.16</v>
      </c>
      <c r="K307" s="437">
        <f t="shared" si="9"/>
        <v>94.80538130839986</v>
      </c>
    </row>
    <row r="308" spans="1:11" ht="51">
      <c r="A308" s="46" t="s">
        <v>175</v>
      </c>
      <c r="B308" s="181" t="s">
        <v>63</v>
      </c>
      <c r="C308" s="62" t="s">
        <v>14</v>
      </c>
      <c r="D308" s="44" t="s">
        <v>19</v>
      </c>
      <c r="E308" s="41" t="s">
        <v>152</v>
      </c>
      <c r="F308" s="41" t="s">
        <v>8</v>
      </c>
      <c r="G308" s="41" t="s">
        <v>33</v>
      </c>
      <c r="H308" s="143"/>
      <c r="I308" s="42">
        <f>I309+I310</f>
        <v>18630000</v>
      </c>
      <c r="J308" s="42">
        <f>J309+J310</f>
        <v>17902156.31</v>
      </c>
      <c r="K308" s="437">
        <f t="shared" si="9"/>
        <v>96.09316323134728</v>
      </c>
    </row>
    <row r="309" spans="1:11" ht="18.75">
      <c r="A309" s="15" t="s">
        <v>75</v>
      </c>
      <c r="B309" s="181" t="s">
        <v>63</v>
      </c>
      <c r="C309" s="63" t="s">
        <v>14</v>
      </c>
      <c r="D309" s="8" t="s">
        <v>19</v>
      </c>
      <c r="E309" s="7" t="s">
        <v>152</v>
      </c>
      <c r="F309" s="7" t="s">
        <v>8</v>
      </c>
      <c r="G309" s="7" t="s">
        <v>33</v>
      </c>
      <c r="H309" s="144" t="s">
        <v>32</v>
      </c>
      <c r="I309" s="25">
        <v>18630000</v>
      </c>
      <c r="J309" s="25">
        <v>17902156.31</v>
      </c>
      <c r="K309" s="437">
        <f t="shared" si="9"/>
        <v>96.09316323134728</v>
      </c>
    </row>
    <row r="310" spans="1:11" ht="18.75">
      <c r="A310" s="15" t="s">
        <v>204</v>
      </c>
      <c r="B310" s="181" t="s">
        <v>63</v>
      </c>
      <c r="C310" s="63" t="s">
        <v>14</v>
      </c>
      <c r="D310" s="8" t="s">
        <v>19</v>
      </c>
      <c r="E310" s="7" t="s">
        <v>152</v>
      </c>
      <c r="F310" s="7" t="s">
        <v>8</v>
      </c>
      <c r="G310" s="7" t="s">
        <v>33</v>
      </c>
      <c r="H310" s="144" t="s">
        <v>32</v>
      </c>
      <c r="I310" s="25"/>
      <c r="J310" s="25"/>
      <c r="K310" s="437" t="e">
        <f t="shared" si="9"/>
        <v>#DIV/0!</v>
      </c>
    </row>
    <row r="311" spans="1:11" ht="18.75">
      <c r="A311" s="152" t="s">
        <v>125</v>
      </c>
      <c r="B311" s="181" t="s">
        <v>63</v>
      </c>
      <c r="C311" s="62" t="s">
        <v>14</v>
      </c>
      <c r="D311" s="44" t="s">
        <v>19</v>
      </c>
      <c r="E311" s="41" t="s">
        <v>152</v>
      </c>
      <c r="F311" s="41" t="s">
        <v>9</v>
      </c>
      <c r="G311" s="41" t="s">
        <v>33</v>
      </c>
      <c r="H311" s="143"/>
      <c r="I311" s="42">
        <f>I312</f>
        <v>688000</v>
      </c>
      <c r="J311" s="42">
        <f>J312</f>
        <v>688000</v>
      </c>
      <c r="K311" s="437">
        <f t="shared" si="9"/>
        <v>100</v>
      </c>
    </row>
    <row r="312" spans="1:11" ht="18.75">
      <c r="A312" s="112" t="s">
        <v>79</v>
      </c>
      <c r="B312" s="181" t="s">
        <v>63</v>
      </c>
      <c r="C312" s="63" t="s">
        <v>14</v>
      </c>
      <c r="D312" s="8" t="s">
        <v>19</v>
      </c>
      <c r="E312" s="7" t="s">
        <v>152</v>
      </c>
      <c r="F312" s="7" t="s">
        <v>9</v>
      </c>
      <c r="G312" s="7" t="s">
        <v>33</v>
      </c>
      <c r="H312" s="144" t="s">
        <v>87</v>
      </c>
      <c r="I312" s="25">
        <v>688000</v>
      </c>
      <c r="J312" s="25">
        <v>688000</v>
      </c>
      <c r="K312" s="437">
        <f t="shared" si="9"/>
        <v>100</v>
      </c>
    </row>
    <row r="313" spans="1:11" ht="38.25">
      <c r="A313" s="46" t="s">
        <v>102</v>
      </c>
      <c r="B313" s="181" t="s">
        <v>63</v>
      </c>
      <c r="C313" s="62" t="s">
        <v>14</v>
      </c>
      <c r="D313" s="44" t="s">
        <v>19</v>
      </c>
      <c r="E313" s="41" t="s">
        <v>152</v>
      </c>
      <c r="F313" s="41" t="s">
        <v>10</v>
      </c>
      <c r="G313" s="41" t="s">
        <v>33</v>
      </c>
      <c r="H313" s="143"/>
      <c r="I313" s="42">
        <f>SUM(I314:I316)</f>
        <v>2944674.23</v>
      </c>
      <c r="J313" s="42">
        <f>SUM(J314:J316)</f>
        <v>2812188.91</v>
      </c>
      <c r="K313" s="437">
        <f t="shared" si="9"/>
        <v>95.50084968142639</v>
      </c>
    </row>
    <row r="314" spans="1:11" ht="18.75">
      <c r="A314" s="15" t="s">
        <v>75</v>
      </c>
      <c r="B314" s="181" t="s">
        <v>63</v>
      </c>
      <c r="C314" s="63" t="s">
        <v>14</v>
      </c>
      <c r="D314" s="8" t="s">
        <v>19</v>
      </c>
      <c r="E314" s="7" t="s">
        <v>152</v>
      </c>
      <c r="F314" s="7" t="s">
        <v>10</v>
      </c>
      <c r="G314" s="7" t="s">
        <v>33</v>
      </c>
      <c r="H314" s="144" t="s">
        <v>32</v>
      </c>
      <c r="I314" s="25">
        <v>2714066.99</v>
      </c>
      <c r="J314" s="25">
        <f>2812188.91-J315-J316</f>
        <v>2583971.66</v>
      </c>
      <c r="K314" s="437">
        <f t="shared" si="9"/>
        <v>95.2066278953564</v>
      </c>
    </row>
    <row r="315" spans="1:11" ht="18.75">
      <c r="A315" s="15" t="s">
        <v>204</v>
      </c>
      <c r="B315" s="181" t="s">
        <v>63</v>
      </c>
      <c r="C315" s="63" t="s">
        <v>14</v>
      </c>
      <c r="D315" s="8" t="s">
        <v>19</v>
      </c>
      <c r="E315" s="7" t="s">
        <v>152</v>
      </c>
      <c r="F315" s="7" t="s">
        <v>10</v>
      </c>
      <c r="G315" s="7" t="s">
        <v>33</v>
      </c>
      <c r="H315" s="144" t="s">
        <v>32</v>
      </c>
      <c r="I315" s="25">
        <v>132674.23</v>
      </c>
      <c r="J315" s="25">
        <v>132674.23</v>
      </c>
      <c r="K315" s="437">
        <f t="shared" si="9"/>
        <v>100</v>
      </c>
    </row>
    <row r="316" spans="1:11" ht="25.5">
      <c r="A316" s="15" t="s">
        <v>160</v>
      </c>
      <c r="B316" s="181" t="s">
        <v>63</v>
      </c>
      <c r="C316" s="63" t="s">
        <v>14</v>
      </c>
      <c r="D316" s="8" t="s">
        <v>19</v>
      </c>
      <c r="E316" s="7" t="s">
        <v>152</v>
      </c>
      <c r="F316" s="7" t="s">
        <v>10</v>
      </c>
      <c r="G316" s="7" t="s">
        <v>33</v>
      </c>
      <c r="H316" s="144" t="s">
        <v>174</v>
      </c>
      <c r="I316" s="25">
        <v>97933.01</v>
      </c>
      <c r="J316" s="25">
        <v>95543.02</v>
      </c>
      <c r="K316" s="437">
        <f t="shared" si="9"/>
        <v>97.55956648325218</v>
      </c>
    </row>
    <row r="317" spans="1:11" ht="18.75">
      <c r="A317" s="22" t="s">
        <v>69</v>
      </c>
      <c r="B317" s="181" t="s">
        <v>63</v>
      </c>
      <c r="C317" s="54" t="s">
        <v>14</v>
      </c>
      <c r="D317" s="23" t="s">
        <v>19</v>
      </c>
      <c r="E317" s="23" t="s">
        <v>54</v>
      </c>
      <c r="F317" s="23" t="s">
        <v>33</v>
      </c>
      <c r="G317" s="23" t="s">
        <v>33</v>
      </c>
      <c r="H317" s="146"/>
      <c r="I317" s="24">
        <f>I318</f>
        <v>8972172</v>
      </c>
      <c r="J317" s="24">
        <f>J318</f>
        <v>8561871</v>
      </c>
      <c r="K317" s="437">
        <f t="shared" si="9"/>
        <v>95.42696016081725</v>
      </c>
    </row>
    <row r="318" spans="1:11" ht="38.25">
      <c r="A318" s="79" t="s">
        <v>65</v>
      </c>
      <c r="B318" s="181" t="s">
        <v>63</v>
      </c>
      <c r="C318" s="47" t="s">
        <v>14</v>
      </c>
      <c r="D318" s="45" t="s">
        <v>19</v>
      </c>
      <c r="E318" s="196" t="s">
        <v>54</v>
      </c>
      <c r="F318" s="196" t="s">
        <v>176</v>
      </c>
      <c r="G318" s="196" t="s">
        <v>19</v>
      </c>
      <c r="H318" s="205"/>
      <c r="I318" s="198">
        <f>I319+I320</f>
        <v>8972172</v>
      </c>
      <c r="J318" s="198">
        <f>J319+J320</f>
        <v>8561871</v>
      </c>
      <c r="K318" s="437">
        <f t="shared" si="9"/>
        <v>95.42696016081725</v>
      </c>
    </row>
    <row r="319" spans="1:11" ht="18.75">
      <c r="A319" s="15" t="s">
        <v>75</v>
      </c>
      <c r="B319" s="181" t="s">
        <v>63</v>
      </c>
      <c r="C319" s="68" t="s">
        <v>14</v>
      </c>
      <c r="D319" s="14" t="s">
        <v>19</v>
      </c>
      <c r="E319" s="200" t="s">
        <v>54</v>
      </c>
      <c r="F319" s="200" t="s">
        <v>176</v>
      </c>
      <c r="G319" s="200" t="s">
        <v>19</v>
      </c>
      <c r="H319" s="206" t="s">
        <v>32</v>
      </c>
      <c r="I319" s="202">
        <v>6067000</v>
      </c>
      <c r="J319" s="202">
        <f>8561871-J320</f>
        <v>5656699</v>
      </c>
      <c r="K319" s="437">
        <f t="shared" si="9"/>
        <v>93.23716828745673</v>
      </c>
    </row>
    <row r="320" spans="1:11" ht="18.75">
      <c r="A320" s="15" t="s">
        <v>204</v>
      </c>
      <c r="B320" s="181" t="s">
        <v>63</v>
      </c>
      <c r="C320" s="68" t="s">
        <v>14</v>
      </c>
      <c r="D320" s="14" t="s">
        <v>19</v>
      </c>
      <c r="E320" s="200" t="s">
        <v>54</v>
      </c>
      <c r="F320" s="200" t="s">
        <v>176</v>
      </c>
      <c r="G320" s="200" t="s">
        <v>19</v>
      </c>
      <c r="H320" s="206" t="s">
        <v>32</v>
      </c>
      <c r="I320" s="202">
        <v>2905172</v>
      </c>
      <c r="J320" s="202">
        <v>2905172</v>
      </c>
      <c r="K320" s="437">
        <f t="shared" si="9"/>
        <v>100</v>
      </c>
    </row>
    <row r="321" spans="1:11" ht="25.5">
      <c r="A321" s="152" t="s">
        <v>161</v>
      </c>
      <c r="B321" s="181" t="s">
        <v>63</v>
      </c>
      <c r="C321" s="62" t="s">
        <v>14</v>
      </c>
      <c r="D321" s="44" t="s">
        <v>19</v>
      </c>
      <c r="E321" s="41" t="s">
        <v>151</v>
      </c>
      <c r="F321" s="41" t="s">
        <v>14</v>
      </c>
      <c r="G321" s="41" t="s">
        <v>33</v>
      </c>
      <c r="H321" s="143"/>
      <c r="I321" s="42">
        <f>SUM(I322:I324)</f>
        <v>1703134.43</v>
      </c>
      <c r="J321" s="42">
        <f>SUM(J322:J324)</f>
        <v>1262761.94</v>
      </c>
      <c r="K321" s="437">
        <f t="shared" si="9"/>
        <v>74.1434098070579</v>
      </c>
    </row>
    <row r="322" spans="1:11" ht="18.75">
      <c r="A322" s="15" t="s">
        <v>75</v>
      </c>
      <c r="B322" s="181" t="s">
        <v>63</v>
      </c>
      <c r="C322" s="63" t="s">
        <v>14</v>
      </c>
      <c r="D322" s="8" t="s">
        <v>19</v>
      </c>
      <c r="E322" s="7" t="s">
        <v>151</v>
      </c>
      <c r="F322" s="7" t="s">
        <v>14</v>
      </c>
      <c r="G322" s="7" t="s">
        <v>33</v>
      </c>
      <c r="H322" s="144" t="s">
        <v>32</v>
      </c>
      <c r="I322" s="25">
        <v>592000</v>
      </c>
      <c r="J322" s="25">
        <f>1262761.94-J323-J324</f>
        <v>289700.85</v>
      </c>
      <c r="K322" s="437">
        <f t="shared" si="9"/>
        <v>48.93595439189189</v>
      </c>
    </row>
    <row r="323" spans="1:11" ht="18.75">
      <c r="A323" s="15" t="s">
        <v>204</v>
      </c>
      <c r="B323" s="181" t="s">
        <v>63</v>
      </c>
      <c r="C323" s="63" t="s">
        <v>14</v>
      </c>
      <c r="D323" s="8" t="s">
        <v>19</v>
      </c>
      <c r="E323" s="7" t="s">
        <v>151</v>
      </c>
      <c r="F323" s="7" t="s">
        <v>14</v>
      </c>
      <c r="G323" s="7" t="s">
        <v>33</v>
      </c>
      <c r="H323" s="144" t="s">
        <v>32</v>
      </c>
      <c r="I323" s="25">
        <v>192134.43</v>
      </c>
      <c r="J323" s="25">
        <v>192134.43</v>
      </c>
      <c r="K323" s="437">
        <f t="shared" si="9"/>
        <v>100</v>
      </c>
    </row>
    <row r="324" spans="1:11" ht="18.75">
      <c r="A324" s="15" t="s">
        <v>200</v>
      </c>
      <c r="B324" s="181" t="s">
        <v>63</v>
      </c>
      <c r="C324" s="63" t="s">
        <v>14</v>
      </c>
      <c r="D324" s="8" t="s">
        <v>19</v>
      </c>
      <c r="E324" s="7" t="s">
        <v>151</v>
      </c>
      <c r="F324" s="7" t="s">
        <v>14</v>
      </c>
      <c r="G324" s="7" t="s">
        <v>33</v>
      </c>
      <c r="H324" s="144" t="s">
        <v>185</v>
      </c>
      <c r="I324" s="25">
        <v>919000</v>
      </c>
      <c r="J324" s="25">
        <v>780926.66</v>
      </c>
      <c r="K324" s="437">
        <f t="shared" si="9"/>
        <v>84.97569749727965</v>
      </c>
    </row>
    <row r="325" spans="1:11" ht="18.75">
      <c r="A325" s="158" t="s">
        <v>126</v>
      </c>
      <c r="B325" s="182" t="s">
        <v>63</v>
      </c>
      <c r="C325" s="159" t="s">
        <v>60</v>
      </c>
      <c r="D325" s="121"/>
      <c r="E325" s="108"/>
      <c r="F325" s="108"/>
      <c r="G325" s="108"/>
      <c r="H325" s="160"/>
      <c r="I325" s="161">
        <f aca="true" t="shared" si="10" ref="I325:J328">I326</f>
        <v>327598.98</v>
      </c>
      <c r="J325" s="161">
        <f t="shared" si="10"/>
        <v>292589.29</v>
      </c>
      <c r="K325" s="437">
        <f t="shared" si="9"/>
        <v>89.31324816701199</v>
      </c>
    </row>
    <row r="326" spans="1:11" ht="18.75">
      <c r="A326" s="162" t="s">
        <v>135</v>
      </c>
      <c r="B326" s="181" t="s">
        <v>63</v>
      </c>
      <c r="C326" s="92" t="s">
        <v>60</v>
      </c>
      <c r="D326" s="9" t="s">
        <v>15</v>
      </c>
      <c r="E326" s="6"/>
      <c r="F326" s="6"/>
      <c r="G326" s="6"/>
      <c r="H326" s="141"/>
      <c r="I326" s="26">
        <f t="shared" si="10"/>
        <v>327598.98</v>
      </c>
      <c r="J326" s="26">
        <f t="shared" si="10"/>
        <v>292589.29</v>
      </c>
      <c r="K326" s="437">
        <f t="shared" si="9"/>
        <v>89.31324816701199</v>
      </c>
    </row>
    <row r="327" spans="1:11" ht="18.75">
      <c r="A327" s="80" t="s">
        <v>59</v>
      </c>
      <c r="B327" s="181" t="s">
        <v>63</v>
      </c>
      <c r="C327" s="61" t="s">
        <v>60</v>
      </c>
      <c r="D327" s="19" t="s">
        <v>15</v>
      </c>
      <c r="E327" s="19" t="s">
        <v>58</v>
      </c>
      <c r="F327" s="19" t="s">
        <v>33</v>
      </c>
      <c r="G327" s="19" t="s">
        <v>33</v>
      </c>
      <c r="H327" s="138"/>
      <c r="I327" s="24">
        <f t="shared" si="10"/>
        <v>327598.98</v>
      </c>
      <c r="J327" s="24">
        <f t="shared" si="10"/>
        <v>292589.29</v>
      </c>
      <c r="K327" s="437">
        <f t="shared" si="9"/>
        <v>89.31324816701199</v>
      </c>
    </row>
    <row r="328" spans="1:11" ht="18.75">
      <c r="A328" s="46" t="s">
        <v>127</v>
      </c>
      <c r="B328" s="181" t="s">
        <v>63</v>
      </c>
      <c r="C328" s="67" t="s">
        <v>60</v>
      </c>
      <c r="D328" s="48" t="s">
        <v>15</v>
      </c>
      <c r="E328" s="48" t="s">
        <v>58</v>
      </c>
      <c r="F328" s="49" t="s">
        <v>18</v>
      </c>
      <c r="G328" s="49" t="s">
        <v>33</v>
      </c>
      <c r="H328" s="147"/>
      <c r="I328" s="42">
        <f t="shared" si="10"/>
        <v>327598.98</v>
      </c>
      <c r="J328" s="42">
        <f t="shared" si="10"/>
        <v>292589.29</v>
      </c>
      <c r="K328" s="437">
        <f t="shared" si="9"/>
        <v>89.31324816701199</v>
      </c>
    </row>
    <row r="329" spans="1:11" ht="18.75">
      <c r="A329" s="15" t="s">
        <v>5</v>
      </c>
      <c r="B329" s="181" t="s">
        <v>63</v>
      </c>
      <c r="C329" s="52" t="s">
        <v>60</v>
      </c>
      <c r="D329" s="7" t="s">
        <v>15</v>
      </c>
      <c r="E329" s="7" t="s">
        <v>58</v>
      </c>
      <c r="F329" s="7" t="s">
        <v>18</v>
      </c>
      <c r="G329" s="7" t="s">
        <v>33</v>
      </c>
      <c r="H329" s="96" t="s">
        <v>82</v>
      </c>
      <c r="I329" s="113">
        <v>327598.98</v>
      </c>
      <c r="J329" s="113">
        <v>292589.29</v>
      </c>
      <c r="K329" s="437">
        <f t="shared" si="9"/>
        <v>89.31324816701199</v>
      </c>
    </row>
    <row r="330" spans="1:11" ht="18.75">
      <c r="A330" s="123" t="s">
        <v>128</v>
      </c>
      <c r="B330" s="182" t="s">
        <v>63</v>
      </c>
      <c r="C330" s="121" t="s">
        <v>13</v>
      </c>
      <c r="D330" s="121"/>
      <c r="E330" s="108"/>
      <c r="F330" s="108"/>
      <c r="G330" s="108"/>
      <c r="H330" s="160"/>
      <c r="I330" s="161">
        <f aca="true" t="shared" si="11" ref="I330:J332">I331</f>
        <v>600000</v>
      </c>
      <c r="J330" s="161">
        <f t="shared" si="11"/>
        <v>600000</v>
      </c>
      <c r="K330" s="437">
        <f t="shared" si="9"/>
        <v>100</v>
      </c>
    </row>
    <row r="331" spans="1:11" ht="18.75">
      <c r="A331" s="162" t="s">
        <v>52</v>
      </c>
      <c r="B331" s="181" t="s">
        <v>63</v>
      </c>
      <c r="C331" s="92" t="s">
        <v>13</v>
      </c>
      <c r="D331" s="9" t="s">
        <v>16</v>
      </c>
      <c r="E331" s="6"/>
      <c r="F331" s="6"/>
      <c r="G331" s="6"/>
      <c r="H331" s="141"/>
      <c r="I331" s="26">
        <f t="shared" si="11"/>
        <v>600000</v>
      </c>
      <c r="J331" s="26">
        <f t="shared" si="11"/>
        <v>600000</v>
      </c>
      <c r="K331" s="437">
        <f t="shared" si="9"/>
        <v>100</v>
      </c>
    </row>
    <row r="332" spans="1:11" ht="25.5">
      <c r="A332" s="219" t="s">
        <v>129</v>
      </c>
      <c r="B332" s="181" t="s">
        <v>63</v>
      </c>
      <c r="C332" s="183" t="s">
        <v>13</v>
      </c>
      <c r="D332" s="19" t="s">
        <v>16</v>
      </c>
      <c r="E332" s="19" t="s">
        <v>30</v>
      </c>
      <c r="F332" s="19" t="s">
        <v>33</v>
      </c>
      <c r="G332" s="19" t="s">
        <v>33</v>
      </c>
      <c r="H332" s="138"/>
      <c r="I332" s="24">
        <f t="shared" si="11"/>
        <v>600000</v>
      </c>
      <c r="J332" s="24">
        <f t="shared" si="11"/>
        <v>600000</v>
      </c>
      <c r="K332" s="437">
        <f t="shared" si="9"/>
        <v>100</v>
      </c>
    </row>
    <row r="333" spans="1:11" ht="25.5">
      <c r="A333" s="72" t="s">
        <v>164</v>
      </c>
      <c r="B333" s="181" t="s">
        <v>63</v>
      </c>
      <c r="C333" s="52" t="s">
        <v>13</v>
      </c>
      <c r="D333" s="7" t="s">
        <v>16</v>
      </c>
      <c r="E333" s="7" t="s">
        <v>30</v>
      </c>
      <c r="F333" s="7" t="s">
        <v>33</v>
      </c>
      <c r="G333" s="7" t="s">
        <v>33</v>
      </c>
      <c r="H333" s="96" t="s">
        <v>98</v>
      </c>
      <c r="I333" s="113">
        <v>600000</v>
      </c>
      <c r="J333" s="113">
        <v>600000</v>
      </c>
      <c r="K333" s="437">
        <f t="shared" si="9"/>
        <v>100</v>
      </c>
    </row>
    <row r="334" spans="1:11" ht="18.75">
      <c r="A334" s="167" t="s">
        <v>118</v>
      </c>
      <c r="B334" s="182" t="s">
        <v>63</v>
      </c>
      <c r="C334" s="163" t="s">
        <v>103</v>
      </c>
      <c r="D334" s="164"/>
      <c r="E334" s="164"/>
      <c r="F334" s="164"/>
      <c r="G334" s="164"/>
      <c r="H334" s="165"/>
      <c r="I334" s="166">
        <f aca="true" t="shared" si="12" ref="I334:J336">I335</f>
        <v>2135000</v>
      </c>
      <c r="J334" s="166">
        <f t="shared" si="12"/>
        <v>2077589.72</v>
      </c>
      <c r="K334" s="437">
        <f t="shared" si="9"/>
        <v>97.31099391100703</v>
      </c>
    </row>
    <row r="335" spans="1:11" ht="18.75">
      <c r="A335" s="168" t="s">
        <v>130</v>
      </c>
      <c r="B335" s="181" t="s">
        <v>63</v>
      </c>
      <c r="C335" s="51" t="s">
        <v>103</v>
      </c>
      <c r="D335" s="20" t="s">
        <v>8</v>
      </c>
      <c r="E335" s="20"/>
      <c r="F335" s="20"/>
      <c r="G335" s="20"/>
      <c r="H335" s="125"/>
      <c r="I335" s="169">
        <f t="shared" si="12"/>
        <v>2135000</v>
      </c>
      <c r="J335" s="169">
        <f t="shared" si="12"/>
        <v>2077589.72</v>
      </c>
      <c r="K335" s="437">
        <f t="shared" si="9"/>
        <v>97.31099391100703</v>
      </c>
    </row>
    <row r="336" spans="1:11" ht="18.75">
      <c r="A336" s="156" t="s">
        <v>137</v>
      </c>
      <c r="B336" s="181" t="s">
        <v>63</v>
      </c>
      <c r="C336" s="53" t="s">
        <v>103</v>
      </c>
      <c r="D336" s="41" t="s">
        <v>8</v>
      </c>
      <c r="E336" s="41" t="s">
        <v>119</v>
      </c>
      <c r="F336" s="41" t="s">
        <v>18</v>
      </c>
      <c r="G336" s="41" t="s">
        <v>33</v>
      </c>
      <c r="H336" s="98"/>
      <c r="I336" s="170">
        <f t="shared" si="12"/>
        <v>2135000</v>
      </c>
      <c r="J336" s="170">
        <f t="shared" si="12"/>
        <v>2077589.72</v>
      </c>
      <c r="K336" s="437">
        <f t="shared" si="9"/>
        <v>97.31099391100703</v>
      </c>
    </row>
    <row r="337" spans="1:11" ht="18.75">
      <c r="A337" s="148" t="s">
        <v>89</v>
      </c>
      <c r="B337" s="181" t="s">
        <v>63</v>
      </c>
      <c r="C337" s="52" t="s">
        <v>103</v>
      </c>
      <c r="D337" s="7" t="s">
        <v>8</v>
      </c>
      <c r="E337" s="7" t="s">
        <v>119</v>
      </c>
      <c r="F337" s="7" t="s">
        <v>18</v>
      </c>
      <c r="G337" s="7" t="s">
        <v>33</v>
      </c>
      <c r="H337" s="96" t="s">
        <v>90</v>
      </c>
      <c r="I337" s="113">
        <f>2400000-265000</f>
        <v>2135000</v>
      </c>
      <c r="J337" s="113">
        <v>2077589.72</v>
      </c>
      <c r="K337" s="437">
        <f t="shared" si="9"/>
        <v>97.31099391100703</v>
      </c>
    </row>
    <row r="338" spans="1:11" ht="25.5">
      <c r="A338" s="123" t="s">
        <v>131</v>
      </c>
      <c r="B338" s="182" t="s">
        <v>63</v>
      </c>
      <c r="C338" s="107" t="s">
        <v>66</v>
      </c>
      <c r="D338" s="108"/>
      <c r="E338" s="108"/>
      <c r="F338" s="108"/>
      <c r="G338" s="108"/>
      <c r="H338" s="139"/>
      <c r="I338" s="161">
        <f>I339+I345</f>
        <v>11590000</v>
      </c>
      <c r="J338" s="161">
        <f>J339+J345</f>
        <v>11590000</v>
      </c>
      <c r="K338" s="437">
        <f t="shared" si="9"/>
        <v>100</v>
      </c>
    </row>
    <row r="339" spans="1:11" ht="25.5">
      <c r="A339" s="82" t="s">
        <v>132</v>
      </c>
      <c r="B339" s="181" t="s">
        <v>63</v>
      </c>
      <c r="C339" s="106" t="s">
        <v>66</v>
      </c>
      <c r="D339" s="110" t="s">
        <v>8</v>
      </c>
      <c r="E339" s="88"/>
      <c r="F339" s="33"/>
      <c r="G339" s="33"/>
      <c r="H339" s="150"/>
      <c r="I339" s="26">
        <f>I340</f>
        <v>9615000</v>
      </c>
      <c r="J339" s="26">
        <f>J340</f>
        <v>9615000</v>
      </c>
      <c r="K339" s="437">
        <f t="shared" si="9"/>
        <v>100</v>
      </c>
    </row>
    <row r="340" spans="1:11" ht="18.75">
      <c r="A340" s="81" t="s">
        <v>83</v>
      </c>
      <c r="B340" s="181" t="s">
        <v>63</v>
      </c>
      <c r="C340" s="109" t="s">
        <v>66</v>
      </c>
      <c r="D340" s="99" t="s">
        <v>8</v>
      </c>
      <c r="E340" s="100" t="s">
        <v>84</v>
      </c>
      <c r="F340" s="99" t="s">
        <v>33</v>
      </c>
      <c r="G340" s="94" t="s">
        <v>33</v>
      </c>
      <c r="H340" s="128"/>
      <c r="I340" s="24">
        <f>I341+I343</f>
        <v>9615000</v>
      </c>
      <c r="J340" s="24">
        <f>J341+J343</f>
        <v>9615000</v>
      </c>
      <c r="K340" s="437">
        <f t="shared" si="9"/>
        <v>100</v>
      </c>
    </row>
    <row r="341" spans="1:11" ht="18.75">
      <c r="A341" s="105" t="s">
        <v>94</v>
      </c>
      <c r="B341" s="181" t="s">
        <v>63</v>
      </c>
      <c r="C341" s="101" t="s">
        <v>66</v>
      </c>
      <c r="D341" s="104" t="s">
        <v>8</v>
      </c>
      <c r="E341" s="102" t="s">
        <v>84</v>
      </c>
      <c r="F341" s="104" t="s">
        <v>8</v>
      </c>
      <c r="G341" s="93" t="s">
        <v>68</v>
      </c>
      <c r="H341" s="126"/>
      <c r="I341" s="42">
        <f>I342</f>
        <v>4000000</v>
      </c>
      <c r="J341" s="42">
        <f>J342</f>
        <v>4000000</v>
      </c>
      <c r="K341" s="437">
        <f t="shared" si="9"/>
        <v>100</v>
      </c>
    </row>
    <row r="342" spans="1:11" ht="18.75">
      <c r="A342" s="124" t="s">
        <v>92</v>
      </c>
      <c r="B342" s="181" t="s">
        <v>63</v>
      </c>
      <c r="C342" s="5" t="s">
        <v>66</v>
      </c>
      <c r="D342" s="31" t="s">
        <v>8</v>
      </c>
      <c r="E342" s="40" t="s">
        <v>84</v>
      </c>
      <c r="F342" s="32" t="s">
        <v>8</v>
      </c>
      <c r="G342" s="32" t="s">
        <v>68</v>
      </c>
      <c r="H342" s="127" t="s">
        <v>88</v>
      </c>
      <c r="I342" s="34">
        <v>4000000</v>
      </c>
      <c r="J342" s="34">
        <v>4000000</v>
      </c>
      <c r="K342" s="437">
        <f t="shared" si="9"/>
        <v>100</v>
      </c>
    </row>
    <row r="343" spans="1:11" ht="25.5">
      <c r="A343" s="103" t="s">
        <v>93</v>
      </c>
      <c r="B343" s="181" t="s">
        <v>63</v>
      </c>
      <c r="C343" s="101" t="s">
        <v>66</v>
      </c>
      <c r="D343" s="104" t="s">
        <v>8</v>
      </c>
      <c r="E343" s="102" t="s">
        <v>84</v>
      </c>
      <c r="F343" s="104" t="s">
        <v>8</v>
      </c>
      <c r="G343" s="93" t="s">
        <v>104</v>
      </c>
      <c r="H343" s="126"/>
      <c r="I343" s="42">
        <f>I344</f>
        <v>5615000</v>
      </c>
      <c r="J343" s="42">
        <f>J344</f>
        <v>5615000</v>
      </c>
      <c r="K343" s="437">
        <f t="shared" si="9"/>
        <v>100</v>
      </c>
    </row>
    <row r="344" spans="1:11" ht="18.75">
      <c r="A344" s="83" t="s">
        <v>92</v>
      </c>
      <c r="B344" s="181" t="s">
        <v>63</v>
      </c>
      <c r="C344" s="95" t="s">
        <v>66</v>
      </c>
      <c r="D344" s="31" t="s">
        <v>8</v>
      </c>
      <c r="E344" s="127" t="s">
        <v>84</v>
      </c>
      <c r="F344" s="32" t="s">
        <v>8</v>
      </c>
      <c r="G344" s="32" t="s">
        <v>104</v>
      </c>
      <c r="H344" s="127" t="s">
        <v>88</v>
      </c>
      <c r="I344" s="34">
        <v>5615000</v>
      </c>
      <c r="J344" s="34">
        <v>5615000</v>
      </c>
      <c r="K344" s="437">
        <f t="shared" si="9"/>
        <v>100</v>
      </c>
    </row>
    <row r="345" spans="1:11" ht="18.75">
      <c r="A345" s="269" t="s">
        <v>232</v>
      </c>
      <c r="B345" s="181" t="s">
        <v>63</v>
      </c>
      <c r="C345" s="270" t="s">
        <v>66</v>
      </c>
      <c r="D345" s="271" t="s">
        <v>18</v>
      </c>
      <c r="E345" s="271"/>
      <c r="F345" s="272"/>
      <c r="G345" s="272"/>
      <c r="H345" s="265"/>
      <c r="I345" s="218">
        <f>I346+I348</f>
        <v>1975000</v>
      </c>
      <c r="J345" s="218">
        <f>J346+J348</f>
        <v>1975000</v>
      </c>
      <c r="K345" s="437">
        <f t="shared" si="9"/>
        <v>100</v>
      </c>
    </row>
    <row r="346" spans="1:11" ht="38.25">
      <c r="A346" s="223" t="s">
        <v>555</v>
      </c>
      <c r="B346" s="181" t="s">
        <v>63</v>
      </c>
      <c r="C346" s="279" t="s">
        <v>66</v>
      </c>
      <c r="D346" s="280" t="s">
        <v>18</v>
      </c>
      <c r="E346" s="281" t="s">
        <v>4</v>
      </c>
      <c r="F346" s="280" t="s">
        <v>234</v>
      </c>
      <c r="G346" s="280" t="s">
        <v>33</v>
      </c>
      <c r="H346" s="282"/>
      <c r="I346" s="283">
        <f>I347</f>
        <v>550000</v>
      </c>
      <c r="J346" s="283">
        <f>J347</f>
        <v>550000</v>
      </c>
      <c r="K346" s="437">
        <f t="shared" si="9"/>
        <v>100</v>
      </c>
    </row>
    <row r="347" spans="1:11" ht="18.75">
      <c r="A347" s="75" t="s">
        <v>105</v>
      </c>
      <c r="B347" s="181" t="s">
        <v>63</v>
      </c>
      <c r="C347" s="284" t="s">
        <v>66</v>
      </c>
      <c r="D347" s="285" t="s">
        <v>18</v>
      </c>
      <c r="E347" s="286" t="s">
        <v>4</v>
      </c>
      <c r="F347" s="285" t="s">
        <v>234</v>
      </c>
      <c r="G347" s="285" t="s">
        <v>33</v>
      </c>
      <c r="H347" s="287" t="s">
        <v>107</v>
      </c>
      <c r="I347" s="288">
        <v>550000</v>
      </c>
      <c r="J347" s="288">
        <v>550000</v>
      </c>
      <c r="K347" s="437">
        <f t="shared" si="9"/>
        <v>100</v>
      </c>
    </row>
    <row r="348" spans="1:11" ht="25.5">
      <c r="A348" s="203" t="s">
        <v>233</v>
      </c>
      <c r="B348" s="181" t="s">
        <v>63</v>
      </c>
      <c r="C348" s="273" t="s">
        <v>66</v>
      </c>
      <c r="D348" s="274" t="s">
        <v>18</v>
      </c>
      <c r="E348" s="262" t="s">
        <v>151</v>
      </c>
      <c r="F348" s="275" t="s">
        <v>19</v>
      </c>
      <c r="G348" s="275" t="s">
        <v>33</v>
      </c>
      <c r="H348" s="262"/>
      <c r="I348" s="198">
        <f>I349</f>
        <v>1425000</v>
      </c>
      <c r="J348" s="198">
        <f>J349</f>
        <v>1425000</v>
      </c>
      <c r="K348" s="437">
        <f t="shared" si="9"/>
        <v>100</v>
      </c>
    </row>
    <row r="349" spans="1:11" ht="19.5" thickBot="1">
      <c r="A349" s="204" t="s">
        <v>105</v>
      </c>
      <c r="B349" s="181" t="s">
        <v>63</v>
      </c>
      <c r="C349" s="276" t="s">
        <v>66</v>
      </c>
      <c r="D349" s="277" t="s">
        <v>18</v>
      </c>
      <c r="E349" s="278" t="s">
        <v>151</v>
      </c>
      <c r="F349" s="278" t="s">
        <v>19</v>
      </c>
      <c r="G349" s="278" t="s">
        <v>33</v>
      </c>
      <c r="H349" s="278" t="s">
        <v>107</v>
      </c>
      <c r="I349" s="202">
        <v>1425000</v>
      </c>
      <c r="J349" s="202">
        <v>1425000</v>
      </c>
      <c r="K349" s="437">
        <f t="shared" si="9"/>
        <v>100</v>
      </c>
    </row>
    <row r="350" spans="1:11" ht="19.5" thickBot="1">
      <c r="A350" s="84" t="s">
        <v>26</v>
      </c>
      <c r="B350" s="182" t="s">
        <v>63</v>
      </c>
      <c r="C350" s="69"/>
      <c r="D350" s="17"/>
      <c r="E350" s="18"/>
      <c r="F350" s="18"/>
      <c r="G350" s="18"/>
      <c r="H350" s="129"/>
      <c r="I350" s="151">
        <f>I12+I66+I71+I90+I117+I222+I270+I274+I325+I330+I334+I338</f>
        <v>521394237.62000006</v>
      </c>
      <c r="J350" s="151">
        <f>J12+J66+J71+J90+J117+J222+J270+J274+J325+J330+J334+J338</f>
        <v>465714796.07000005</v>
      </c>
      <c r="K350" s="437">
        <f t="shared" si="9"/>
        <v>89.321047772956</v>
      </c>
    </row>
    <row r="351" spans="9:11" ht="18.75">
      <c r="I351" s="191"/>
      <c r="J351" s="191"/>
      <c r="K351" s="437" t="e">
        <f t="shared" si="9"/>
        <v>#DIV/0!</v>
      </c>
    </row>
    <row r="352" spans="4:11" ht="18.75">
      <c r="D352" t="s">
        <v>603</v>
      </c>
      <c r="I352" s="191">
        <f>I16+I20+I26+I52+I56+I60+I62+I65+I79+I85+I100+I106+I112+I116+I127+I128+I138+I142+I156+I157+I161+I168+I192+I195+I202+I205+I210+I240+I250+I251+I262+I267+I269+I273+I278+I302+I329+I333+I337+I342+I347</f>
        <v>139637150.57</v>
      </c>
      <c r="J352" s="191">
        <f>J16+J20+J26+J52+J56+J60+J62+J65+J79+J85+J100+J106+J112+J116+J127+J128+J138+J142+J156+J157+J161+J168+J192+J195+J202+J205+J210+J240+J250+J251+J262+J267+J269+J273+J278+J302+J329+J333+J337+J342+J347</f>
        <v>133644326.63999999</v>
      </c>
      <c r="K352" s="437">
        <f t="shared" si="9"/>
        <v>95.70828829896826</v>
      </c>
    </row>
    <row r="353" spans="4:11" ht="18.75">
      <c r="D353" t="s">
        <v>604</v>
      </c>
      <c r="I353" s="191">
        <f>I31+I84+I98+I103+I187+I188+I245+I289+I295+I301+I315+I320+I323</f>
        <v>14832247.32</v>
      </c>
      <c r="J353" s="191">
        <f>J31+J84+J98+J103+J187+J188+J245+J289+J295+J301+J315+J320+J323</f>
        <v>14832247.32</v>
      </c>
      <c r="K353" s="437">
        <f t="shared" si="9"/>
        <v>100</v>
      </c>
    </row>
    <row r="354" spans="4:10" ht="12.75">
      <c r="D354" t="s">
        <v>605</v>
      </c>
      <c r="I354" s="191">
        <f>I129+I158+I164+I241+I263</f>
        <v>12200000</v>
      </c>
      <c r="J354" s="191">
        <f>J129+J158+J164+J241+J263</f>
        <v>11720568.020000001</v>
      </c>
    </row>
    <row r="355" spans="4:11" ht="12.75">
      <c r="D355" t="s">
        <v>606</v>
      </c>
      <c r="I355" s="191">
        <f>I28+I30+I33+I34+I38+I48+I70+I72+I81+I93+I96+I102+I104+I120+I122+I124+I130+I136+I139+I147+I149+I151+I153+I165+I171+I178+I185+I186+I190+I194+I199+I225+I226+I231+I243+I246+I264+I279+I288+I292+I296+I299+I300+I309+I312+I314+I316+I319+I322+I324+I344+I349</f>
        <v>353590839.7300001</v>
      </c>
      <c r="J355" s="191">
        <f>J28+J30+J33+J34+J38+J48+J70+J72+J81+J93+J96+J102+J104+J120+J122+J124+J130+J136+J139+J147+J149+J151+J153+J165+J171+J178+J185+J186+J190+J194+J199+J225+J226+J231+J243+J246+J264+J279+J288+J292+J296+J299+J300+J309+J312+J314+J316+J319+J322+J324+J344+J349</f>
        <v>304788708.4000001</v>
      </c>
      <c r="K355" s="475">
        <f t="shared" si="9"/>
        <v>86.19813472338113</v>
      </c>
    </row>
    <row r="356" spans="4:11" ht="12.75">
      <c r="D356" t="s">
        <v>607</v>
      </c>
      <c r="I356" s="191">
        <f>I21+I22+I23+I24+I40+I42+I44+I109+I234+I236+I238</f>
        <v>1134000</v>
      </c>
      <c r="J356" s="191">
        <f>J21+J22+J23+J24+J40+J42+J44+J109+J234+J236+J238</f>
        <v>728945.69</v>
      </c>
      <c r="K356" s="475">
        <f t="shared" si="9"/>
        <v>64.2809250440917</v>
      </c>
    </row>
    <row r="357" spans="9:11" ht="12.75">
      <c r="I357" s="191">
        <f>SUM(I352:I356)</f>
        <v>521394237.62000006</v>
      </c>
      <c r="J357" s="191">
        <f>SUM(J352:J356)</f>
        <v>465714796.0700001</v>
      </c>
      <c r="K357" s="475">
        <f t="shared" si="9"/>
        <v>89.32104777295604</v>
      </c>
    </row>
    <row r="358" spans="9:11" ht="12.75">
      <c r="I358" s="191"/>
      <c r="J358" s="191"/>
      <c r="K358" s="475"/>
    </row>
    <row r="359" spans="9:11" ht="12.75">
      <c r="I359" s="191"/>
      <c r="J359" s="191"/>
      <c r="K359" s="475"/>
    </row>
    <row r="360" spans="9:10" ht="12.75">
      <c r="I360" s="191"/>
      <c r="J360" s="191"/>
    </row>
  </sheetData>
  <sheetProtection/>
  <mergeCells count="11">
    <mergeCell ref="D5:D10"/>
    <mergeCell ref="E5:G10"/>
    <mergeCell ref="H5:H10"/>
    <mergeCell ref="I5:I10"/>
    <mergeCell ref="B1:K1"/>
    <mergeCell ref="J5:J10"/>
    <mergeCell ref="K5:K10"/>
    <mergeCell ref="A3:I3"/>
    <mergeCell ref="A5:A10"/>
    <mergeCell ref="B5:B10"/>
    <mergeCell ref="C5:C10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8" r:id="rId1"/>
  <rowBreaks count="1" manualBreakCount="1">
    <brk id="5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B12" sqref="B12"/>
    </sheetView>
  </sheetViews>
  <sheetFormatPr defaultColWidth="9.00390625" defaultRowHeight="12.75"/>
  <cols>
    <col min="1" max="1" width="51.75390625" style="415" customWidth="1"/>
    <col min="2" max="2" width="33.875" style="416" customWidth="1"/>
    <col min="3" max="3" width="17.25390625" style="415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554" t="s">
        <v>608</v>
      </c>
      <c r="C1" s="555"/>
      <c r="D1" s="555"/>
    </row>
    <row r="2" spans="1:3" s="415" customFormat="1" ht="12.75">
      <c r="A2" s="417"/>
      <c r="B2" s="566"/>
      <c r="C2" s="566"/>
    </row>
    <row r="3" s="415" customFormat="1" ht="12.75">
      <c r="B3" s="416"/>
    </row>
    <row r="4" spans="1:3" s="415" customFormat="1" ht="12.75">
      <c r="A4" s="565" t="s">
        <v>469</v>
      </c>
      <c r="B4" s="565"/>
      <c r="C4" s="565"/>
    </row>
    <row r="5" s="415" customFormat="1" ht="12.75">
      <c r="B5" s="416"/>
    </row>
    <row r="6" spans="1:5" s="418" customFormat="1" ht="53.25">
      <c r="A6" s="419" t="s">
        <v>470</v>
      </c>
      <c r="B6" s="420" t="s">
        <v>471</v>
      </c>
      <c r="C6" s="419" t="s">
        <v>472</v>
      </c>
      <c r="D6" s="419" t="s">
        <v>472</v>
      </c>
      <c r="E6" s="438" t="s">
        <v>518</v>
      </c>
    </row>
    <row r="7" spans="1:5" s="418" customFormat="1" ht="11.25">
      <c r="A7" s="419">
        <v>1</v>
      </c>
      <c r="B7" s="420" t="s">
        <v>473</v>
      </c>
      <c r="C7" s="419">
        <v>11</v>
      </c>
      <c r="D7" s="419">
        <v>11</v>
      </c>
      <c r="E7" s="419">
        <v>11</v>
      </c>
    </row>
    <row r="8" spans="1:5" s="421" customFormat="1" ht="33.75" customHeight="1">
      <c r="A8" s="422" t="s">
        <v>474</v>
      </c>
      <c r="B8" s="423" t="s">
        <v>475</v>
      </c>
      <c r="C8" s="424">
        <f>C9+C14+C23</f>
        <v>13998000.00000006</v>
      </c>
      <c r="D8" s="424">
        <f>D9+D14+D23</f>
        <v>-971709.1400000453</v>
      </c>
      <c r="E8" s="440">
        <f>D8/C8*100</f>
        <v>-6.941771253036443</v>
      </c>
    </row>
    <row r="9" spans="1:5" s="421" customFormat="1" ht="24.75" customHeight="1">
      <c r="A9" s="422" t="s">
        <v>476</v>
      </c>
      <c r="B9" s="423" t="s">
        <v>477</v>
      </c>
      <c r="C9" s="424">
        <f>C10+C12</f>
        <v>-10176000</v>
      </c>
      <c r="D9" s="424">
        <f>D10+D12</f>
        <v>-10176000</v>
      </c>
      <c r="E9" s="440">
        <f>D9/C9*100</f>
        <v>100</v>
      </c>
    </row>
    <row r="10" spans="1:5" s="421" customFormat="1" ht="36" customHeight="1">
      <c r="A10" s="422" t="s">
        <v>478</v>
      </c>
      <c r="B10" s="423" t="s">
        <v>479</v>
      </c>
      <c r="C10" s="424">
        <f>C11</f>
        <v>0</v>
      </c>
      <c r="D10" s="424">
        <f>D11</f>
        <v>0</v>
      </c>
      <c r="E10" s="440"/>
    </row>
    <row r="11" spans="1:5" s="421" customFormat="1" ht="41.25" customHeight="1">
      <c r="A11" s="425" t="s">
        <v>480</v>
      </c>
      <c r="B11" s="423" t="s">
        <v>481</v>
      </c>
      <c r="C11" s="426"/>
      <c r="D11" s="426"/>
      <c r="E11" s="426"/>
    </row>
    <row r="12" spans="1:5" s="421" customFormat="1" ht="42" customHeight="1">
      <c r="A12" s="422" t="s">
        <v>482</v>
      </c>
      <c r="B12" s="423" t="s">
        <v>483</v>
      </c>
      <c r="C12" s="424">
        <f>C13</f>
        <v>-10176000</v>
      </c>
      <c r="D12" s="424">
        <f>D13</f>
        <v>-10176000</v>
      </c>
      <c r="E12" s="440">
        <f aca="true" t="shared" si="0" ref="E12:E26">D12/C12*100</f>
        <v>100</v>
      </c>
    </row>
    <row r="13" spans="1:5" s="421" customFormat="1" ht="39.75" customHeight="1">
      <c r="A13" s="425" t="s">
        <v>484</v>
      </c>
      <c r="B13" s="423" t="s">
        <v>485</v>
      </c>
      <c r="C13" s="426">
        <v>-10176000</v>
      </c>
      <c r="D13" s="426">
        <v>-10176000</v>
      </c>
      <c r="E13" s="440">
        <f t="shared" si="0"/>
        <v>100</v>
      </c>
    </row>
    <row r="14" spans="1:5" s="421" customFormat="1" ht="25.5">
      <c r="A14" s="422" t="s">
        <v>486</v>
      </c>
      <c r="B14" s="427" t="s">
        <v>487</v>
      </c>
      <c r="C14" s="424">
        <f>C15+C19</f>
        <v>23694000.00000006</v>
      </c>
      <c r="D14" s="424">
        <f>D15+D19</f>
        <v>8904290.859999955</v>
      </c>
      <c r="E14" s="440">
        <f t="shared" si="0"/>
        <v>37.58036152612447</v>
      </c>
    </row>
    <row r="15" spans="1:5" s="421" customFormat="1" ht="15" customHeight="1">
      <c r="A15" s="422" t="s">
        <v>488</v>
      </c>
      <c r="B15" s="427" t="s">
        <v>489</v>
      </c>
      <c r="C15" s="424">
        <f aca="true" t="shared" si="1" ref="C15:D17">C16</f>
        <v>-507876237.62</v>
      </c>
      <c r="D15" s="424">
        <f t="shared" si="1"/>
        <v>-499881911.85</v>
      </c>
      <c r="E15" s="440">
        <f t="shared" si="0"/>
        <v>98.42593033935533</v>
      </c>
    </row>
    <row r="16" spans="1:5" s="421" customFormat="1" ht="18" customHeight="1">
      <c r="A16" s="425" t="s">
        <v>490</v>
      </c>
      <c r="B16" s="423" t="s">
        <v>491</v>
      </c>
      <c r="C16" s="426">
        <f t="shared" si="1"/>
        <v>-507876237.62</v>
      </c>
      <c r="D16" s="426">
        <f t="shared" si="1"/>
        <v>-499881911.85</v>
      </c>
      <c r="E16" s="440">
        <f t="shared" si="0"/>
        <v>98.42593033935533</v>
      </c>
    </row>
    <row r="17" spans="1:5" s="428" customFormat="1" ht="18.75" customHeight="1">
      <c r="A17" s="425" t="s">
        <v>492</v>
      </c>
      <c r="B17" s="423" t="s">
        <v>493</v>
      </c>
      <c r="C17" s="426">
        <f t="shared" si="1"/>
        <v>-507876237.62</v>
      </c>
      <c r="D17" s="426">
        <f t="shared" si="1"/>
        <v>-499881911.85</v>
      </c>
      <c r="E17" s="440">
        <f t="shared" si="0"/>
        <v>98.42593033935533</v>
      </c>
    </row>
    <row r="18" spans="1:5" s="428" customFormat="1" ht="24.75" customHeight="1">
      <c r="A18" s="425" t="s">
        <v>494</v>
      </c>
      <c r="B18" s="423" t="s">
        <v>495</v>
      </c>
      <c r="C18" s="426">
        <f>-дох!L118-C11-C25</f>
        <v>-507876237.62</v>
      </c>
      <c r="D18" s="426">
        <v>-499881911.85</v>
      </c>
      <c r="E18" s="440">
        <f t="shared" si="0"/>
        <v>98.42593033935533</v>
      </c>
    </row>
    <row r="19" spans="1:5" s="428" customFormat="1" ht="16.5" customHeight="1">
      <c r="A19" s="422" t="s">
        <v>496</v>
      </c>
      <c r="B19" s="427" t="s">
        <v>497</v>
      </c>
      <c r="C19" s="424">
        <f aca="true" t="shared" si="2" ref="C19:D21">C20</f>
        <v>531570237.62000006</v>
      </c>
      <c r="D19" s="424">
        <f t="shared" si="2"/>
        <v>508786202.71</v>
      </c>
      <c r="E19" s="440">
        <f t="shared" si="0"/>
        <v>95.71382419527265</v>
      </c>
    </row>
    <row r="20" spans="1:5" s="428" customFormat="1" ht="30" customHeight="1">
      <c r="A20" s="425" t="s">
        <v>498</v>
      </c>
      <c r="B20" s="423" t="s">
        <v>499</v>
      </c>
      <c r="C20" s="426">
        <f t="shared" si="2"/>
        <v>531570237.62000006</v>
      </c>
      <c r="D20" s="426">
        <f t="shared" si="2"/>
        <v>508786202.71</v>
      </c>
      <c r="E20" s="440">
        <f t="shared" si="0"/>
        <v>95.71382419527265</v>
      </c>
    </row>
    <row r="21" spans="1:5" s="421" customFormat="1" ht="32.25" customHeight="1">
      <c r="A21" s="425" t="s">
        <v>500</v>
      </c>
      <c r="B21" s="423" t="s">
        <v>501</v>
      </c>
      <c r="C21" s="426">
        <f t="shared" si="2"/>
        <v>531570237.62000006</v>
      </c>
      <c r="D21" s="426">
        <f t="shared" si="2"/>
        <v>508786202.71</v>
      </c>
      <c r="E21" s="440">
        <f t="shared" si="0"/>
        <v>95.71382419527265</v>
      </c>
    </row>
    <row r="22" spans="1:6" s="421" customFormat="1" ht="24" customHeight="1">
      <c r="A22" s="425" t="s">
        <v>502</v>
      </c>
      <c r="B22" s="423" t="s">
        <v>503</v>
      </c>
      <c r="C22" s="426">
        <f>расх!I11-C12-C27</f>
        <v>531570237.62000006</v>
      </c>
      <c r="D22" s="426">
        <v>508786202.71</v>
      </c>
      <c r="E22" s="440">
        <f t="shared" si="0"/>
        <v>95.71382419527265</v>
      </c>
      <c r="F22" s="429"/>
    </row>
    <row r="23" spans="1:5" ht="26.25" customHeight="1">
      <c r="A23" s="422" t="s">
        <v>504</v>
      </c>
      <c r="B23" s="427" t="s">
        <v>505</v>
      </c>
      <c r="C23" s="424">
        <f>C24</f>
        <v>480000</v>
      </c>
      <c r="D23" s="424">
        <f>D24</f>
        <v>300000</v>
      </c>
      <c r="E23" s="440">
        <f t="shared" si="0"/>
        <v>62.5</v>
      </c>
    </row>
    <row r="24" spans="1:5" ht="24.75" customHeight="1">
      <c r="A24" s="422" t="s">
        <v>506</v>
      </c>
      <c r="B24" s="427" t="s">
        <v>507</v>
      </c>
      <c r="C24" s="424">
        <f>C25+C27</f>
        <v>480000</v>
      </c>
      <c r="D24" s="424">
        <f>D25+D27</f>
        <v>300000</v>
      </c>
      <c r="E24" s="440">
        <f t="shared" si="0"/>
        <v>62.5</v>
      </c>
    </row>
    <row r="25" spans="1:5" ht="24.75" customHeight="1">
      <c r="A25" s="425" t="s">
        <v>508</v>
      </c>
      <c r="B25" s="423" t="s">
        <v>509</v>
      </c>
      <c r="C25" s="426">
        <f>C26</f>
        <v>480000</v>
      </c>
      <c r="D25" s="426">
        <f>D26</f>
        <v>300000</v>
      </c>
      <c r="E25" s="440">
        <f t="shared" si="0"/>
        <v>62.5</v>
      </c>
    </row>
    <row r="26" spans="1:5" ht="51.75" customHeight="1">
      <c r="A26" s="425" t="s">
        <v>510</v>
      </c>
      <c r="B26" s="423" t="s">
        <v>511</v>
      </c>
      <c r="C26" s="426">
        <v>480000</v>
      </c>
      <c r="D26" s="426">
        <v>300000</v>
      </c>
      <c r="E26" s="440">
        <f t="shared" si="0"/>
        <v>62.5</v>
      </c>
    </row>
    <row r="27" spans="1:5" ht="24.75" customHeight="1">
      <c r="A27" s="425" t="s">
        <v>512</v>
      </c>
      <c r="B27" s="423" t="s">
        <v>513</v>
      </c>
      <c r="C27" s="426">
        <f>C28</f>
        <v>0</v>
      </c>
      <c r="D27" s="426">
        <f>D28</f>
        <v>0</v>
      </c>
      <c r="E27" s="426"/>
    </row>
    <row r="28" spans="1:5" ht="38.25" customHeight="1">
      <c r="A28" s="425" t="s">
        <v>514</v>
      </c>
      <c r="B28" s="423" t="s">
        <v>515</v>
      </c>
      <c r="C28" s="426">
        <f>C29</f>
        <v>0</v>
      </c>
      <c r="D28" s="426">
        <f>D29</f>
        <v>0</v>
      </c>
      <c r="E28" s="426"/>
    </row>
    <row r="29" spans="1:5" ht="43.5" customHeight="1">
      <c r="A29" s="425" t="s">
        <v>516</v>
      </c>
      <c r="B29" s="423" t="s">
        <v>517</v>
      </c>
      <c r="C29" s="426"/>
      <c r="D29" s="426"/>
      <c r="E29" s="426"/>
    </row>
    <row r="32" spans="1:3" ht="18">
      <c r="A32" s="433"/>
      <c r="B32" s="430"/>
      <c r="C32" s="434"/>
    </row>
    <row r="33" spans="2:7" ht="18">
      <c r="B33" s="430"/>
      <c r="C33" s="431"/>
      <c r="D33" s="191"/>
      <c r="E33" s="191"/>
      <c r="F33" s="191"/>
      <c r="G33" s="191"/>
    </row>
    <row r="34" spans="2:7" ht="18">
      <c r="B34" s="430"/>
      <c r="C34" s="435"/>
      <c r="D34" s="191"/>
      <c r="E34" s="191"/>
      <c r="F34" s="191"/>
      <c r="G34" s="191"/>
    </row>
    <row r="35" spans="2:7" ht="18">
      <c r="B35" s="430"/>
      <c r="C35" s="431"/>
      <c r="D35" s="191"/>
      <c r="E35" s="191"/>
      <c r="F35" s="191"/>
      <c r="G35" s="191"/>
    </row>
    <row r="36" spans="2:3" ht="18">
      <c r="B36" s="430"/>
      <c r="C36" s="432"/>
    </row>
    <row r="37" spans="2:3" ht="18">
      <c r="B37" s="430"/>
      <c r="C37" s="432"/>
    </row>
  </sheetData>
  <sheetProtection/>
  <mergeCells count="3">
    <mergeCell ref="A4:C4"/>
    <mergeCell ref="B2:C2"/>
    <mergeCell ref="B1:D1"/>
  </mergeCells>
  <printOptions/>
  <pageMargins left="0.78" right="0.15748031496062992" top="0.4724409448818898" bottom="0.17" header="0.15748031496062992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2014-06-03T09:57:59Z</cp:lastPrinted>
  <dcterms:created xsi:type="dcterms:W3CDTF">2004-09-08T10:28:32Z</dcterms:created>
  <dcterms:modified xsi:type="dcterms:W3CDTF">2014-06-03T09:58:25Z</dcterms:modified>
  <cp:category/>
  <cp:version/>
  <cp:contentType/>
  <cp:contentStatus/>
</cp:coreProperties>
</file>